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Avila\Documents\cenace\2016\SUBASTA LARGO PLAZO\PORCENTAJE UMBRAL\"/>
    </mc:Choice>
  </mc:AlternateContent>
  <bookViews>
    <workbookView xWindow="120" yWindow="-48" windowWidth="19416" windowHeight="11016"/>
  </bookViews>
  <sheets>
    <sheet name="Escenario Medio" sheetId="4" r:id="rId1"/>
  </sheets>
  <definedNames>
    <definedName name="solver_adj" localSheetId="0" hidden="1">'Escenario Medio'!$H$5:$H$24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'Escenario Medio'!$C$39:$E$39</definedName>
    <definedName name="solver_lhs2" localSheetId="0" hidden="1">'Escenario Medio'!$H$5:$H$24</definedName>
    <definedName name="solver_lhs3" localSheetId="0" hidden="1">'Escenario Medio'!$V$5:$V$24</definedName>
    <definedName name="solver_lhs4" localSheetId="0" hidden="1">'Escenario Medio'!$V$5:$V$24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'Escenario Medio'!$F$45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5</definedName>
    <definedName name="solver_rel3" localSheetId="0" hidden="1">5</definedName>
    <definedName name="solver_rel4" localSheetId="0" hidden="1">5</definedName>
    <definedName name="solver_rhs1" localSheetId="0" hidden="1">'Escenario Medio'!$C$40:$E$40</definedName>
    <definedName name="solver_rhs2" localSheetId="0" hidden="1">binario</definedName>
    <definedName name="solver_rhs3" localSheetId="0" hidden="1">binario</definedName>
    <definedName name="solver_rhs4" localSheetId="0" hidden="1">binario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D36" i="4" l="1"/>
  <c r="C36" i="4"/>
  <c r="C35" i="4"/>
  <c r="D35" i="4"/>
  <c r="C2" i="4" l="1"/>
  <c r="E19" i="4" l="1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36" i="4" l="1"/>
  <c r="E35" i="4"/>
  <c r="F21" i="4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L2" i="4" l="1"/>
  <c r="L5" i="4" s="1"/>
  <c r="Y35" i="4"/>
  <c r="Z2" i="4" s="1"/>
  <c r="K35" i="4"/>
  <c r="R35" i="4"/>
  <c r="S2" i="4" s="1"/>
  <c r="S16" i="4" s="1"/>
  <c r="U16" i="4" s="1"/>
  <c r="F6" i="4"/>
  <c r="F7" i="4" s="1"/>
  <c r="F8" i="4" s="1"/>
  <c r="N5" i="4" l="1"/>
  <c r="O5" i="4"/>
  <c r="E39" i="4"/>
  <c r="C39" i="4"/>
  <c r="S11" i="4"/>
  <c r="U11" i="4" s="1"/>
  <c r="S6" i="4"/>
  <c r="U6" i="4" s="1"/>
  <c r="G21" i="4"/>
  <c r="G7" i="4"/>
  <c r="S20" i="4"/>
  <c r="U20" i="4" s="1"/>
  <c r="S8" i="4"/>
  <c r="U8" i="4" s="1"/>
  <c r="S9" i="4"/>
  <c r="U9" i="4" s="1"/>
  <c r="S14" i="4"/>
  <c r="U14" i="4" s="1"/>
  <c r="G20" i="4"/>
  <c r="L9" i="4"/>
  <c r="N9" i="4" s="1"/>
  <c r="G5" i="4"/>
  <c r="S12" i="4"/>
  <c r="U12" i="4" s="1"/>
  <c r="S7" i="4"/>
  <c r="U7" i="4" s="1"/>
  <c r="S10" i="4"/>
  <c r="U10" i="4" s="1"/>
  <c r="F9" i="4"/>
  <c r="G8" i="4"/>
  <c r="L32" i="4"/>
  <c r="N32" i="4" s="1"/>
  <c r="L30" i="4"/>
  <c r="N30" i="4" s="1"/>
  <c r="L28" i="4"/>
  <c r="N28" i="4" s="1"/>
  <c r="L26" i="4"/>
  <c r="N26" i="4" s="1"/>
  <c r="L24" i="4"/>
  <c r="N24" i="4" s="1"/>
  <c r="L22" i="4"/>
  <c r="N22" i="4" s="1"/>
  <c r="L20" i="4"/>
  <c r="N20" i="4" s="1"/>
  <c r="L18" i="4"/>
  <c r="N18" i="4" s="1"/>
  <c r="L16" i="4"/>
  <c r="N16" i="4" s="1"/>
  <c r="L14" i="4"/>
  <c r="N14" i="4" s="1"/>
  <c r="L12" i="4"/>
  <c r="N12" i="4" s="1"/>
  <c r="L10" i="4"/>
  <c r="N10" i="4" s="1"/>
  <c r="L8" i="4"/>
  <c r="N8" i="4" s="1"/>
  <c r="L34" i="4"/>
  <c r="N34" i="4" s="1"/>
  <c r="L33" i="4"/>
  <c r="N33" i="4" s="1"/>
  <c r="L31" i="4"/>
  <c r="N31" i="4" s="1"/>
  <c r="L29" i="4"/>
  <c r="N29" i="4" s="1"/>
  <c r="L27" i="4"/>
  <c r="N27" i="4" s="1"/>
  <c r="L25" i="4"/>
  <c r="N25" i="4" s="1"/>
  <c r="L23" i="4"/>
  <c r="N23" i="4" s="1"/>
  <c r="L21" i="4"/>
  <c r="N21" i="4" s="1"/>
  <c r="L19" i="4"/>
  <c r="N19" i="4" s="1"/>
  <c r="L17" i="4"/>
  <c r="N17" i="4" s="1"/>
  <c r="L15" i="4"/>
  <c r="N15" i="4" s="1"/>
  <c r="L13" i="4"/>
  <c r="N13" i="4" s="1"/>
  <c r="L11" i="4"/>
  <c r="N11" i="4" s="1"/>
  <c r="L6" i="4"/>
  <c r="N6" i="4" s="1"/>
  <c r="S32" i="4"/>
  <c r="U32" i="4" s="1"/>
  <c r="S30" i="4"/>
  <c r="U30" i="4" s="1"/>
  <c r="S28" i="4"/>
  <c r="U28" i="4" s="1"/>
  <c r="S26" i="4"/>
  <c r="U26" i="4" s="1"/>
  <c r="S24" i="4"/>
  <c r="U24" i="4" s="1"/>
  <c r="S22" i="4"/>
  <c r="U22" i="4" s="1"/>
  <c r="S34" i="4"/>
  <c r="U34" i="4" s="1"/>
  <c r="S33" i="4"/>
  <c r="U33" i="4" s="1"/>
  <c r="S31" i="4"/>
  <c r="U31" i="4" s="1"/>
  <c r="S29" i="4"/>
  <c r="U29" i="4" s="1"/>
  <c r="S27" i="4"/>
  <c r="U27" i="4" s="1"/>
  <c r="S25" i="4"/>
  <c r="U25" i="4" s="1"/>
  <c r="S23" i="4"/>
  <c r="U23" i="4" s="1"/>
  <c r="S21" i="4"/>
  <c r="U21" i="4" s="1"/>
  <c r="S19" i="4"/>
  <c r="U19" i="4" s="1"/>
  <c r="S17" i="4"/>
  <c r="U17" i="4" s="1"/>
  <c r="S15" i="4"/>
  <c r="U15" i="4" s="1"/>
  <c r="S13" i="4"/>
  <c r="U13" i="4" s="1"/>
  <c r="S5" i="4"/>
  <c r="U5" i="4" s="1"/>
  <c r="L7" i="4"/>
  <c r="N7" i="4" s="1"/>
  <c r="S18" i="4"/>
  <c r="U18" i="4" s="1"/>
  <c r="Z33" i="4"/>
  <c r="AB33" i="4" s="1"/>
  <c r="Z31" i="4"/>
  <c r="AB31" i="4" s="1"/>
  <c r="Z29" i="4"/>
  <c r="AB29" i="4" s="1"/>
  <c r="Z27" i="4"/>
  <c r="AB27" i="4" s="1"/>
  <c r="Z25" i="4"/>
  <c r="AB25" i="4" s="1"/>
  <c r="Z23" i="4"/>
  <c r="AB23" i="4" s="1"/>
  <c r="Z21" i="4"/>
  <c r="AB21" i="4" s="1"/>
  <c r="Z19" i="4"/>
  <c r="AB19" i="4" s="1"/>
  <c r="Z17" i="4"/>
  <c r="AB17" i="4" s="1"/>
  <c r="Z15" i="4"/>
  <c r="AB15" i="4" s="1"/>
  <c r="Z13" i="4"/>
  <c r="AB13" i="4" s="1"/>
  <c r="Z11" i="4"/>
  <c r="AB11" i="4" s="1"/>
  <c r="Z9" i="4"/>
  <c r="AB9" i="4" s="1"/>
  <c r="Z7" i="4"/>
  <c r="AB7" i="4" s="1"/>
  <c r="Z5" i="4"/>
  <c r="Z34" i="4"/>
  <c r="AB34" i="4" s="1"/>
  <c r="Z32" i="4"/>
  <c r="AB32" i="4" s="1"/>
  <c r="Z30" i="4"/>
  <c r="AB30" i="4" s="1"/>
  <c r="Z28" i="4"/>
  <c r="AB28" i="4" s="1"/>
  <c r="Z26" i="4"/>
  <c r="AB26" i="4" s="1"/>
  <c r="Z24" i="4"/>
  <c r="AB24" i="4" s="1"/>
  <c r="Z22" i="4"/>
  <c r="AB22" i="4" s="1"/>
  <c r="Z20" i="4"/>
  <c r="AB20" i="4" s="1"/>
  <c r="Z18" i="4"/>
  <c r="AB18" i="4" s="1"/>
  <c r="Z16" i="4"/>
  <c r="AB16" i="4" s="1"/>
  <c r="Z14" i="4"/>
  <c r="AB14" i="4" s="1"/>
  <c r="Z12" i="4"/>
  <c r="AB12" i="4" s="1"/>
  <c r="Z10" i="4"/>
  <c r="AB10" i="4" s="1"/>
  <c r="Z8" i="4"/>
  <c r="AB8" i="4" s="1"/>
  <c r="Z6" i="4"/>
  <c r="AB6" i="4" s="1"/>
  <c r="G6" i="4"/>
  <c r="N35" i="4" l="1"/>
  <c r="AC5" i="4"/>
  <c r="AC25" i="4"/>
  <c r="L35" i="4"/>
  <c r="O7" i="4"/>
  <c r="O27" i="4"/>
  <c r="O28" i="4" s="1"/>
  <c r="O15" i="4"/>
  <c r="O12" i="4"/>
  <c r="AC6" i="4"/>
  <c r="AC7" i="4" s="1"/>
  <c r="AC8" i="4" s="1"/>
  <c r="AC9" i="4" s="1"/>
  <c r="AC10" i="4" s="1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AC24" i="4" s="1"/>
  <c r="AC26" i="4" s="1"/>
  <c r="AB5" i="4"/>
  <c r="AB35" i="4" s="1"/>
  <c r="O14" i="4"/>
  <c r="O10" i="4"/>
  <c r="O6" i="4"/>
  <c r="L36" i="4" s="1"/>
  <c r="O13" i="4"/>
  <c r="O9" i="4"/>
  <c r="V13" i="4"/>
  <c r="V9" i="4"/>
  <c r="V5" i="4"/>
  <c r="V16" i="4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12" i="4"/>
  <c r="V8" i="4"/>
  <c r="O16" i="4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9" i="4" s="1"/>
  <c r="O30" i="4" s="1"/>
  <c r="O31" i="4" s="1"/>
  <c r="O32" i="4" s="1"/>
  <c r="O33" i="4" s="1"/>
  <c r="O34" i="4" s="1"/>
  <c r="O8" i="4"/>
  <c r="O11" i="4"/>
  <c r="V15" i="4"/>
  <c r="V11" i="4"/>
  <c r="V7" i="4"/>
  <c r="V14" i="4"/>
  <c r="V10" i="4"/>
  <c r="V6" i="4"/>
  <c r="U35" i="4"/>
  <c r="Z35" i="4"/>
  <c r="S35" i="4"/>
  <c r="G23" i="4"/>
  <c r="G22" i="4"/>
  <c r="G24" i="4"/>
  <c r="F10" i="4"/>
  <c r="G9" i="4"/>
  <c r="F47" i="4" l="1"/>
  <c r="AC27" i="4"/>
  <c r="AC28" i="4" s="1"/>
  <c r="AC29" i="4" s="1"/>
  <c r="AC30" i="4" s="1"/>
  <c r="AC31" i="4" s="1"/>
  <c r="AC32" i="4" s="1"/>
  <c r="AC33" i="4" s="1"/>
  <c r="AC34" i="4" s="1"/>
  <c r="U36" i="4"/>
  <c r="D39" i="4"/>
  <c r="F11" i="4"/>
  <c r="G10" i="4"/>
  <c r="G25" i="4"/>
  <c r="C40" i="4" l="1"/>
  <c r="N36" i="4"/>
  <c r="AB36" i="4"/>
  <c r="K36" i="4"/>
  <c r="S36" i="4"/>
  <c r="D40" i="4" s="1"/>
  <c r="Y36" i="4"/>
  <c r="R36" i="4"/>
  <c r="Z36" i="4"/>
  <c r="E40" i="4" s="1"/>
  <c r="G26" i="4"/>
  <c r="F12" i="4"/>
  <c r="G11" i="4"/>
  <c r="F43" i="4" l="1"/>
  <c r="F13" i="4"/>
  <c r="G12" i="4"/>
  <c r="G27" i="4"/>
  <c r="F14" i="4" l="1"/>
  <c r="G13" i="4"/>
  <c r="G28" i="4"/>
  <c r="G29" i="4" l="1"/>
  <c r="F15" i="4"/>
  <c r="G14" i="4"/>
  <c r="F16" i="4" l="1"/>
  <c r="G15" i="4"/>
  <c r="G30" i="4"/>
  <c r="G31" i="4" l="1"/>
  <c r="F17" i="4"/>
  <c r="G16" i="4"/>
  <c r="F18" i="4" l="1"/>
  <c r="G17" i="4"/>
  <c r="G32" i="4"/>
  <c r="G33" i="4" l="1"/>
  <c r="G18" i="4"/>
  <c r="G19" i="4" l="1"/>
  <c r="G34" i="4"/>
  <c r="G36" i="4" s="1"/>
  <c r="F44" i="4" s="1"/>
  <c r="F45" i="4" s="1"/>
  <c r="F48" i="4" s="1"/>
  <c r="G35" i="4" l="1"/>
</calcChain>
</file>

<file path=xl/sharedStrings.xml><?xml version="1.0" encoding="utf-8"?>
<sst xmlns="http://schemas.openxmlformats.org/spreadsheetml/2006/main" count="58" uniqueCount="47">
  <si>
    <t>CEL/Año</t>
  </si>
  <si>
    <t>Pesos/Año</t>
  </si>
  <si>
    <t>Seleccionada?</t>
  </si>
  <si>
    <t>No. De Oferta</t>
  </si>
  <si>
    <t>Precio Máximo                                  ($ M.N. /año)</t>
  </si>
  <si>
    <t>Valor Posible</t>
  </si>
  <si>
    <t>Potencia MW/Año</t>
  </si>
  <si>
    <t>Energía
MWh/Año</t>
  </si>
  <si>
    <t>OFERTAS DE VENTA (ESPERADAS)</t>
  </si>
  <si>
    <t>OFERTAS DE COMPRA</t>
  </si>
  <si>
    <t>Cantidad Total</t>
  </si>
  <si>
    <t>PRODUCTO:  ENERGÍA</t>
  </si>
  <si>
    <t>PRODUCTO:  POTENCIA</t>
  </si>
  <si>
    <t>Ventas al Suministrador</t>
  </si>
  <si>
    <t>Compras a Generadores</t>
  </si>
  <si>
    <t>Valor para Suministrador</t>
  </si>
  <si>
    <t>Costo de Compras</t>
  </si>
  <si>
    <t>Excedente al Suministrador</t>
  </si>
  <si>
    <t>Excedente Máximo</t>
  </si>
  <si>
    <t>Porcentaje</t>
  </si>
  <si>
    <t>Cantidad Seleccionada</t>
  </si>
  <si>
    <t>Valor</t>
  </si>
  <si>
    <t>Cantidad (Número de MW /año)</t>
  </si>
  <si>
    <t>1B</t>
  </si>
  <si>
    <t>2B</t>
  </si>
  <si>
    <t>3B</t>
  </si>
  <si>
    <t>4B</t>
  </si>
  <si>
    <t>5B</t>
  </si>
  <si>
    <t>Pesos/USD</t>
  </si>
  <si>
    <t>Cantidad ofrecida (Número de MWh /año)</t>
  </si>
  <si>
    <t>Cantidad supuesta (Número de MWh /año)</t>
  </si>
  <si>
    <t>Cantidad ofrecida (Número de CEL /año)</t>
  </si>
  <si>
    <t>Cantidad supuesta (Número de CEL /año)</t>
  </si>
  <si>
    <t>6B</t>
  </si>
  <si>
    <t>7B</t>
  </si>
  <si>
    <t>8B</t>
  </si>
  <si>
    <t>9B</t>
  </si>
  <si>
    <t>10B</t>
  </si>
  <si>
    <t>Cantidad supuesta (Número de MW /año)</t>
  </si>
  <si>
    <t>11B</t>
  </si>
  <si>
    <t>12B</t>
  </si>
  <si>
    <t>13B</t>
  </si>
  <si>
    <t>14B</t>
  </si>
  <si>
    <t>15B</t>
  </si>
  <si>
    <t xml:space="preserve"> </t>
  </si>
  <si>
    <t>Factor de Reducción</t>
  </si>
  <si>
    <t>Precio Nominal dls/(CEL+Energía)
o
dls/MW-año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</si>
</sst>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0" fillId="6" borderId="0" xfId="0" applyNumberFormat="1" applyFill="1"/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center" vertical="center"/>
    </xf>
    <xf numFmtId="164" fontId="0" fillId="5" borderId="6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164" fontId="0" fillId="5" borderId="12" xfId="1" applyNumberFormat="1" applyFont="1" applyFill="1" applyBorder="1" applyAlignment="1">
      <alignment horizontal="center" vertical="center"/>
    </xf>
    <xf numFmtId="43" fontId="0" fillId="5" borderId="0" xfId="1" applyNumberFormat="1" applyFont="1" applyFill="1" applyBorder="1" applyAlignment="1">
      <alignment horizontal="center" vertical="center"/>
    </xf>
    <xf numFmtId="43" fontId="0" fillId="5" borderId="6" xfId="1" applyNumberFormat="1" applyFon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left" vertical="center" indent="1"/>
    </xf>
    <xf numFmtId="164" fontId="0" fillId="5" borderId="0" xfId="1" applyNumberFormat="1" applyFont="1" applyFill="1" applyBorder="1" applyAlignment="1">
      <alignment horizontal="left" vertical="center" indent="2"/>
    </xf>
    <xf numFmtId="164" fontId="0" fillId="5" borderId="0" xfId="1" applyNumberFormat="1" applyFont="1" applyFill="1" applyBorder="1" applyAlignment="1">
      <alignment horizontal="left" vertical="center" indent="3"/>
    </xf>
    <xf numFmtId="0" fontId="2" fillId="4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3" fontId="0" fillId="0" borderId="0" xfId="0" applyNumberFormat="1"/>
    <xf numFmtId="2" fontId="0" fillId="5" borderId="0" xfId="0" applyNumberFormat="1" applyFill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43" fontId="0" fillId="5" borderId="10" xfId="1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64" fontId="0" fillId="5" borderId="10" xfId="1" applyNumberFormat="1" applyFon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5" borderId="10" xfId="1" applyNumberFormat="1" applyFont="1" applyFill="1" applyBorder="1" applyAlignment="1">
      <alignment horizontal="left" vertical="center" indent="3"/>
    </xf>
    <xf numFmtId="164" fontId="0" fillId="5" borderId="10" xfId="1" applyNumberFormat="1" applyFont="1" applyFill="1" applyBorder="1" applyAlignment="1">
      <alignment horizontal="left" vertical="center" indent="1"/>
    </xf>
    <xf numFmtId="164" fontId="0" fillId="5" borderId="6" xfId="1" applyNumberFormat="1" applyFont="1" applyFill="1" applyBorder="1" applyAlignment="1">
      <alignment horizontal="left" vertical="center" indent="2"/>
    </xf>
    <xf numFmtId="164" fontId="0" fillId="5" borderId="6" xfId="1" applyNumberFormat="1" applyFont="1" applyFill="1" applyBorder="1" applyAlignment="1">
      <alignment horizontal="left" vertical="center" indent="1"/>
    </xf>
    <xf numFmtId="164" fontId="0" fillId="5" borderId="9" xfId="1" applyNumberFormat="1" applyFont="1" applyFill="1" applyBorder="1" applyAlignment="1">
      <alignment horizontal="center" vertical="center"/>
    </xf>
    <xf numFmtId="164" fontId="0" fillId="5" borderId="7" xfId="1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5" borderId="10" xfId="0" applyNumberFormat="1" applyFill="1" applyBorder="1" applyAlignment="1">
      <alignment horizontal="center" vertical="center"/>
    </xf>
    <xf numFmtId="165" fontId="0" fillId="5" borderId="0" xfId="0" applyNumberFormat="1" applyFill="1" applyBorder="1" applyAlignment="1">
      <alignment horizontal="center" vertical="center"/>
    </xf>
    <xf numFmtId="165" fontId="0" fillId="5" borderId="6" xfId="0" applyNumberFormat="1" applyFill="1" applyBorder="1" applyAlignment="1">
      <alignment horizontal="center" vertical="center"/>
    </xf>
    <xf numFmtId="2" fontId="6" fillId="5" borderId="11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horizontal="center" vertical="center"/>
    </xf>
    <xf numFmtId="2" fontId="7" fillId="5" borderId="8" xfId="0" applyNumberFormat="1" applyFont="1" applyFill="1" applyBorder="1" applyAlignment="1">
      <alignment horizontal="center" vertical="center"/>
    </xf>
    <xf numFmtId="2" fontId="7" fillId="5" borderId="13" xfId="0" applyNumberFormat="1" applyFont="1" applyFill="1" applyBorder="1" applyAlignment="1">
      <alignment horizontal="center" vertical="center"/>
    </xf>
    <xf numFmtId="2" fontId="5" fillId="5" borderId="8" xfId="0" applyNumberFormat="1" applyFont="1" applyFill="1" applyBorder="1" applyAlignment="1">
      <alignment horizontal="center" vertical="center"/>
    </xf>
    <xf numFmtId="2" fontId="5" fillId="5" borderId="13" xfId="0" applyNumberFormat="1" applyFon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0" fontId="2" fillId="7" borderId="0" xfId="2" applyNumberFormat="1" applyFont="1" applyFill="1"/>
    <xf numFmtId="166" fontId="0" fillId="5" borderId="0" xfId="1" applyNumberFormat="1" applyFont="1" applyFill="1" applyBorder="1" applyAlignment="1">
      <alignment horizontal="center" vertical="center"/>
    </xf>
    <xf numFmtId="166" fontId="0" fillId="5" borderId="6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8"/>
  <sheetViews>
    <sheetView tabSelected="1" topLeftCell="A11" zoomScale="80" zoomScaleNormal="80" workbookViewId="0">
      <selection activeCell="L48" sqref="L48"/>
    </sheetView>
  </sheetViews>
  <sheetFormatPr baseColWidth="10" defaultRowHeight="14.4" x14ac:dyDescent="0.3"/>
  <cols>
    <col min="1" max="1" width="1.44140625" customWidth="1"/>
    <col min="2" max="2" width="25" customWidth="1"/>
    <col min="3" max="3" width="13.77734375" bestFit="1" customWidth="1"/>
    <col min="4" max="4" width="12.77734375" customWidth="1"/>
    <col min="5" max="5" width="10.5546875" customWidth="1"/>
    <col min="6" max="6" width="17" customWidth="1"/>
    <col min="7" max="7" width="17.5546875" customWidth="1"/>
    <col min="8" max="8" width="13.5546875" bestFit="1" customWidth="1"/>
    <col min="9" max="9" width="0.77734375" customWidth="1"/>
    <col min="10" max="10" width="8.77734375" customWidth="1"/>
    <col min="11" max="11" width="13.21875" bestFit="1" customWidth="1"/>
    <col min="12" max="12" width="13.21875" customWidth="1"/>
    <col min="14" max="14" width="16.77734375" bestFit="1" customWidth="1"/>
    <col min="15" max="15" width="13.77734375" bestFit="1" customWidth="1"/>
    <col min="16" max="16" width="0.77734375" customWidth="1"/>
    <col min="17" max="17" width="7" customWidth="1"/>
    <col min="18" max="18" width="16" bestFit="1" customWidth="1"/>
    <col min="19" max="19" width="16" customWidth="1"/>
    <col min="21" max="21" width="16.77734375" bestFit="1" customWidth="1"/>
    <col min="22" max="22" width="13.77734375" bestFit="1" customWidth="1"/>
    <col min="23" max="23" width="0.77734375" customWidth="1"/>
    <col min="24" max="24" width="7.77734375" customWidth="1"/>
    <col min="25" max="25" width="11.5546875" bestFit="1" customWidth="1"/>
    <col min="26" max="26" width="11.5546875" customWidth="1"/>
    <col min="27" max="27" width="14.77734375" customWidth="1"/>
    <col min="28" max="28" width="15.77734375" customWidth="1"/>
    <col min="29" max="29" width="13.77734375" bestFit="1" customWidth="1"/>
  </cols>
  <sheetData>
    <row r="1" spans="2:29" ht="18" x14ac:dyDescent="0.3">
      <c r="B1" s="61" t="s">
        <v>8</v>
      </c>
      <c r="C1" s="62"/>
      <c r="D1" s="63"/>
      <c r="E1" s="63"/>
      <c r="F1" s="63"/>
      <c r="G1" s="64"/>
      <c r="J1" s="61" t="s">
        <v>9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5"/>
    </row>
    <row r="2" spans="2:29" x14ac:dyDescent="0.3">
      <c r="B2" s="2"/>
      <c r="C2" s="2">
        <f>(F19-F5)/29</f>
        <v>0.53517241379310354</v>
      </c>
      <c r="D2" s="3"/>
      <c r="E2" s="3"/>
      <c r="F2" s="3" t="s">
        <v>28</v>
      </c>
      <c r="G2" s="3">
        <v>19</v>
      </c>
      <c r="J2" s="44" t="s">
        <v>45</v>
      </c>
      <c r="L2" s="43">
        <f>+C35/K35/2</f>
        <v>0.89370454527548404</v>
      </c>
      <c r="M2" s="3"/>
      <c r="Q2" s="44" t="s">
        <v>45</v>
      </c>
      <c r="R2" s="3"/>
      <c r="S2" s="43">
        <f>+SUM(D5:D19)/R35/2</f>
        <v>0.89370454527548404</v>
      </c>
      <c r="T2" s="3"/>
      <c r="X2" s="44" t="s">
        <v>45</v>
      </c>
      <c r="Y2" s="3"/>
      <c r="Z2" s="43">
        <f>+SUM(E20:E34)/Y35/2</f>
        <v>0.63212190681680258</v>
      </c>
      <c r="AA2" s="3"/>
    </row>
    <row r="3" spans="2:29" ht="15.75" customHeight="1" x14ac:dyDescent="0.3">
      <c r="J3" s="66" t="s">
        <v>44</v>
      </c>
      <c r="K3" s="67"/>
      <c r="L3" s="67"/>
      <c r="M3" s="67"/>
      <c r="N3" s="67"/>
      <c r="O3" s="68"/>
      <c r="Q3" s="66" t="s">
        <v>11</v>
      </c>
      <c r="R3" s="67"/>
      <c r="S3" s="67"/>
      <c r="T3" s="67"/>
      <c r="U3" s="67"/>
      <c r="V3" s="68"/>
      <c r="X3" s="66" t="s">
        <v>12</v>
      </c>
      <c r="Y3" s="67"/>
      <c r="Z3" s="67"/>
      <c r="AA3" s="67"/>
      <c r="AB3" s="67"/>
      <c r="AC3" s="68"/>
    </row>
    <row r="4" spans="2:29" ht="57.6" x14ac:dyDescent="0.3">
      <c r="B4" s="15" t="s">
        <v>3</v>
      </c>
      <c r="C4" s="15" t="s">
        <v>0</v>
      </c>
      <c r="D4" s="15" t="s">
        <v>7</v>
      </c>
      <c r="E4" s="15" t="s">
        <v>6</v>
      </c>
      <c r="F4" s="15" t="s">
        <v>46</v>
      </c>
      <c r="G4" s="15" t="s">
        <v>1</v>
      </c>
      <c r="H4" s="15" t="s">
        <v>2</v>
      </c>
      <c r="J4" s="26" t="s">
        <v>3</v>
      </c>
      <c r="K4" s="15" t="s">
        <v>31</v>
      </c>
      <c r="L4" s="15" t="s">
        <v>32</v>
      </c>
      <c r="M4" s="15" t="s">
        <v>4</v>
      </c>
      <c r="N4" s="15" t="s">
        <v>21</v>
      </c>
      <c r="O4" s="27" t="s">
        <v>2</v>
      </c>
      <c r="Q4" s="16" t="s">
        <v>3</v>
      </c>
      <c r="R4" s="17" t="s">
        <v>29</v>
      </c>
      <c r="S4" s="17" t="s">
        <v>30</v>
      </c>
      <c r="T4" s="17" t="s">
        <v>4</v>
      </c>
      <c r="U4" s="17" t="s">
        <v>21</v>
      </c>
      <c r="V4" s="18" t="s">
        <v>2</v>
      </c>
      <c r="X4" s="16" t="s">
        <v>3</v>
      </c>
      <c r="Y4" s="17" t="s">
        <v>22</v>
      </c>
      <c r="Z4" s="17" t="s">
        <v>38</v>
      </c>
      <c r="AA4" s="17" t="s">
        <v>4</v>
      </c>
      <c r="AB4" s="17" t="s">
        <v>5</v>
      </c>
      <c r="AC4" s="18" t="s">
        <v>2</v>
      </c>
    </row>
    <row r="5" spans="2:29" x14ac:dyDescent="0.3">
      <c r="B5" s="32">
        <v>1</v>
      </c>
      <c r="C5" s="35">
        <v>1000000</v>
      </c>
      <c r="D5" s="35">
        <v>1000000</v>
      </c>
      <c r="E5" s="45">
        <f>+D5/8760*0.05</f>
        <v>5.7077625570776256</v>
      </c>
      <c r="F5" s="34">
        <v>42.9</v>
      </c>
      <c r="G5" s="35">
        <f>+F5*C5*$G$2</f>
        <v>815100000</v>
      </c>
      <c r="H5" s="51">
        <v>1</v>
      </c>
      <c r="J5" s="32">
        <v>1</v>
      </c>
      <c r="K5" s="35">
        <v>340157.16</v>
      </c>
      <c r="L5" s="35">
        <f t="shared" ref="L5:L34" si="0">K5*$L$2</f>
        <v>304000.00000000006</v>
      </c>
      <c r="M5" s="33">
        <v>375.27</v>
      </c>
      <c r="N5" s="35">
        <f>+M5*L5</f>
        <v>114082080.00000001</v>
      </c>
      <c r="O5" s="48">
        <f>+IF($C$36&gt;=SUM($L$5:L5),1,IF(O4=1,($C$36-SUM($L4:L$5))/L5,0))</f>
        <v>1</v>
      </c>
      <c r="Q5" s="32">
        <v>1</v>
      </c>
      <c r="R5" s="37">
        <v>340157.16</v>
      </c>
      <c r="S5" s="35">
        <f>R5*$S$2</f>
        <v>304000.00000000006</v>
      </c>
      <c r="T5" s="33">
        <v>750.54</v>
      </c>
      <c r="U5" s="38">
        <f>+T5*S5</f>
        <v>228164160.00000003</v>
      </c>
      <c r="V5" s="48">
        <f>+IF($D$36&gt;=SUM($S$5:S5),1,IF(V4=1,($D$36-SUM($S4:S$5))/S5,0))</f>
        <v>1</v>
      </c>
      <c r="X5" s="41">
        <v>1</v>
      </c>
      <c r="Y5" s="33">
        <v>47.46</v>
      </c>
      <c r="Z5" s="33">
        <f>Y5*$Z$2</f>
        <v>30.000505697525451</v>
      </c>
      <c r="AA5" s="33">
        <v>1688706</v>
      </c>
      <c r="AB5" s="35">
        <f>+AA5*Z5</f>
        <v>50662033.974445418</v>
      </c>
      <c r="AC5" s="48">
        <f>+IF($E$36&gt;=SUM($Z$5:Z5),1,IF(AC4=1,($E$36-SUM($Z4:Z$5))/Z5,0))</f>
        <v>1</v>
      </c>
    </row>
    <row r="6" spans="2:29" x14ac:dyDescent="0.3">
      <c r="B6" s="19">
        <v>2</v>
      </c>
      <c r="C6" s="13">
        <v>1000000</v>
      </c>
      <c r="D6" s="13">
        <v>1000000</v>
      </c>
      <c r="E6" s="46">
        <f t="shared" ref="E6:E19" si="1">+D6/8760*0.05</f>
        <v>5.7077625570776256</v>
      </c>
      <c r="F6" s="29">
        <f>F5+$C$2</f>
        <v>43.435172413793104</v>
      </c>
      <c r="G6" s="13">
        <f t="shared" ref="G6:G19" si="2">+F6*C6*$G$2</f>
        <v>825268275.86206889</v>
      </c>
      <c r="H6" s="52">
        <v>1</v>
      </c>
      <c r="J6" s="19">
        <v>2</v>
      </c>
      <c r="K6" s="13">
        <v>340157.16</v>
      </c>
      <c r="L6" s="13">
        <f t="shared" si="0"/>
        <v>304000.00000000006</v>
      </c>
      <c r="M6" s="21">
        <v>372.14</v>
      </c>
      <c r="N6" s="13">
        <f t="shared" ref="N6:N34" si="3">+M6*L6</f>
        <v>113130560.00000001</v>
      </c>
      <c r="O6" s="49">
        <f>+IF($C$36&gt;=SUM($L$5:L6),1,IF(O5=1,($C$36-SUM($L$5:L5))/L6,0))</f>
        <v>1</v>
      </c>
      <c r="Q6" s="19">
        <v>2</v>
      </c>
      <c r="R6" s="25">
        <v>340157.16</v>
      </c>
      <c r="S6" s="13">
        <f t="shared" ref="S6:S34" si="4">R6*$S$2</f>
        <v>304000.00000000006</v>
      </c>
      <c r="T6" s="21">
        <v>744.28</v>
      </c>
      <c r="U6" s="23">
        <f t="shared" ref="U6:U34" si="5">+T6*S6</f>
        <v>226261120.00000003</v>
      </c>
      <c r="V6" s="49">
        <f>+IF($D$36&gt;=SUM($S$5:S6),1,IF(V5=1,($D$36-SUM($S$5:S5))/S6,0))</f>
        <v>1</v>
      </c>
      <c r="X6" s="20">
        <v>2</v>
      </c>
      <c r="Y6" s="21">
        <v>47.46</v>
      </c>
      <c r="Z6" s="21">
        <f t="shared" ref="Z6:Z34" si="6">Y6*$Z$2</f>
        <v>30.000505697525451</v>
      </c>
      <c r="AA6" s="21">
        <v>1674633.45</v>
      </c>
      <c r="AB6" s="13">
        <f t="shared" ref="AB6:AB34" si="7">+AA6*Z6</f>
        <v>50239850.357991703</v>
      </c>
      <c r="AC6" s="49">
        <f>+IF($E$36&gt;=SUM($Z$5:Z6),1,IF(AC5=1,($E$36-SUM($Z$5:Z5))/Z6,0))</f>
        <v>1</v>
      </c>
    </row>
    <row r="7" spans="2:29" x14ac:dyDescent="0.3">
      <c r="B7" s="19">
        <v>3</v>
      </c>
      <c r="C7" s="13">
        <v>1000000</v>
      </c>
      <c r="D7" s="13">
        <v>1000000</v>
      </c>
      <c r="E7" s="46">
        <f t="shared" si="1"/>
        <v>5.7077625570776256</v>
      </c>
      <c r="F7" s="29">
        <f t="shared" ref="F7:F18" si="8">F6+$C$2</f>
        <v>43.97034482758621</v>
      </c>
      <c r="G7" s="13">
        <f t="shared" si="2"/>
        <v>835436551.72413802</v>
      </c>
      <c r="H7" s="52">
        <v>1</v>
      </c>
      <c r="J7" s="19">
        <v>3</v>
      </c>
      <c r="K7" s="13">
        <v>340157.16</v>
      </c>
      <c r="L7" s="13">
        <f t="shared" si="0"/>
        <v>304000.00000000006</v>
      </c>
      <c r="M7" s="21">
        <v>369.01</v>
      </c>
      <c r="N7" s="13">
        <f t="shared" si="3"/>
        <v>112179040.00000001</v>
      </c>
      <c r="O7" s="49">
        <f>+IF($C$36&gt;=SUM($L$5:L7),1,IF(O6=1,($C$36-SUM($L$5:L6))/L7,0))</f>
        <v>1</v>
      </c>
      <c r="Q7" s="19">
        <v>3</v>
      </c>
      <c r="R7" s="25">
        <v>340157.16</v>
      </c>
      <c r="S7" s="13">
        <f t="shared" si="4"/>
        <v>304000.00000000006</v>
      </c>
      <c r="T7" s="21">
        <v>738.03</v>
      </c>
      <c r="U7" s="23">
        <f t="shared" si="5"/>
        <v>224361120.00000003</v>
      </c>
      <c r="V7" s="49">
        <f>+IF($D$36&gt;=SUM($S$5:S7),1,IF(V6=1,($D$36-SUM($S$5:S6))/S7,0))</f>
        <v>1</v>
      </c>
      <c r="X7" s="20">
        <v>3</v>
      </c>
      <c r="Y7" s="21">
        <v>47.46</v>
      </c>
      <c r="Z7" s="21">
        <f t="shared" si="6"/>
        <v>30.000505697525451</v>
      </c>
      <c r="AA7" s="21">
        <v>1660560.9</v>
      </c>
      <c r="AB7" s="13">
        <f t="shared" si="7"/>
        <v>49817666.741537988</v>
      </c>
      <c r="AC7" s="49">
        <f>+IF($E$36&gt;=SUM($Z$5:Z7),1,IF(AC6=1,($E$36-SUM($Z$5:Z6))/Z7,0))</f>
        <v>1</v>
      </c>
    </row>
    <row r="8" spans="2:29" x14ac:dyDescent="0.3">
      <c r="B8" s="19">
        <v>4</v>
      </c>
      <c r="C8" s="13">
        <v>1000000</v>
      </c>
      <c r="D8" s="13">
        <v>1000000</v>
      </c>
      <c r="E8" s="46">
        <f t="shared" si="1"/>
        <v>5.7077625570776256</v>
      </c>
      <c r="F8" s="29">
        <f t="shared" si="8"/>
        <v>44.505517241379316</v>
      </c>
      <c r="G8" s="13">
        <f t="shared" si="2"/>
        <v>845604827.58620691</v>
      </c>
      <c r="H8" s="52">
        <v>1</v>
      </c>
      <c r="J8" s="19">
        <v>4</v>
      </c>
      <c r="K8" s="13">
        <v>340157.16</v>
      </c>
      <c r="L8" s="13">
        <f t="shared" si="0"/>
        <v>304000.00000000006</v>
      </c>
      <c r="M8" s="21">
        <v>365.89</v>
      </c>
      <c r="N8" s="13">
        <f t="shared" si="3"/>
        <v>111230560.00000001</v>
      </c>
      <c r="O8" s="49">
        <f>+IF($C$36&gt;=SUM($L$5:L8),1,IF(O7=1,($C$36-SUM($L$5:L7))/L8,0))</f>
        <v>1</v>
      </c>
      <c r="Q8" s="19">
        <v>4</v>
      </c>
      <c r="R8" s="25">
        <v>340157.16</v>
      </c>
      <c r="S8" s="13">
        <f t="shared" si="4"/>
        <v>304000.00000000006</v>
      </c>
      <c r="T8" s="21">
        <v>731.77</v>
      </c>
      <c r="U8" s="23">
        <f t="shared" si="5"/>
        <v>222458080.00000003</v>
      </c>
      <c r="V8" s="49">
        <f>+IF($D$36&gt;=SUM($S$5:S8),1,IF(V7=1,($D$36-SUM($S$5:S7))/S8,0))</f>
        <v>1</v>
      </c>
      <c r="X8" s="20">
        <v>4</v>
      </c>
      <c r="Y8" s="21">
        <v>47.46</v>
      </c>
      <c r="Z8" s="21">
        <f t="shared" si="6"/>
        <v>30.000505697525451</v>
      </c>
      <c r="AA8" s="21">
        <v>1646488.35</v>
      </c>
      <c r="AB8" s="13">
        <f t="shared" si="7"/>
        <v>49395483.125084281</v>
      </c>
      <c r="AC8" s="49">
        <f>+IF($E$36&gt;=SUM($Z$5:Z8),1,IF(AC7=1,($E$36-SUM($Z$5:Z7))/Z8,0))</f>
        <v>1</v>
      </c>
    </row>
    <row r="9" spans="2:29" x14ac:dyDescent="0.3">
      <c r="B9" s="19">
        <v>5</v>
      </c>
      <c r="C9" s="13">
        <v>1000000</v>
      </c>
      <c r="D9" s="13">
        <v>1000000</v>
      </c>
      <c r="E9" s="46">
        <f t="shared" si="1"/>
        <v>5.7077625570776256</v>
      </c>
      <c r="F9" s="29">
        <f t="shared" si="8"/>
        <v>45.040689655172422</v>
      </c>
      <c r="G9" s="13">
        <f t="shared" si="2"/>
        <v>855773103.44827604</v>
      </c>
      <c r="H9" s="52">
        <v>1</v>
      </c>
      <c r="J9" s="19">
        <v>5</v>
      </c>
      <c r="K9" s="13">
        <v>340157.16</v>
      </c>
      <c r="L9" s="13">
        <f t="shared" si="0"/>
        <v>304000.00000000006</v>
      </c>
      <c r="M9" s="21">
        <v>362.76</v>
      </c>
      <c r="N9" s="13">
        <f t="shared" si="3"/>
        <v>110279040.00000001</v>
      </c>
      <c r="O9" s="49">
        <f>+IF($C$36&gt;=SUM($L$5:L9),1,IF(O8=1,($C$36-SUM($L$5:L8))/L9,0))</f>
        <v>1</v>
      </c>
      <c r="Q9" s="19">
        <v>5</v>
      </c>
      <c r="R9" s="25">
        <v>340157.16</v>
      </c>
      <c r="S9" s="13">
        <f t="shared" si="4"/>
        <v>304000.00000000006</v>
      </c>
      <c r="T9" s="21">
        <v>725.52</v>
      </c>
      <c r="U9" s="23">
        <f t="shared" si="5"/>
        <v>220558080.00000003</v>
      </c>
      <c r="V9" s="49">
        <f>+IF($D$36&gt;=SUM($S$5:S9),1,IF(V8=1,($D$36-SUM($S$5:S8))/S9,0))</f>
        <v>1</v>
      </c>
      <c r="X9" s="20">
        <v>5</v>
      </c>
      <c r="Y9" s="21">
        <v>47.46</v>
      </c>
      <c r="Z9" s="21">
        <f t="shared" si="6"/>
        <v>30.000505697525451</v>
      </c>
      <c r="AA9" s="21">
        <v>1632415.8</v>
      </c>
      <c r="AB9" s="13">
        <f t="shared" si="7"/>
        <v>48973299.508630566</v>
      </c>
      <c r="AC9" s="49">
        <f>+IF($E$36&gt;=SUM($Z$5:Z9),1,IF(AC8=1,($E$36-SUM($Z$5:Z8))/Z9,0))</f>
        <v>1</v>
      </c>
    </row>
    <row r="10" spans="2:29" x14ac:dyDescent="0.3">
      <c r="B10" s="19">
        <v>6</v>
      </c>
      <c r="C10" s="13">
        <v>1000000</v>
      </c>
      <c r="D10" s="13">
        <v>1000000</v>
      </c>
      <c r="E10" s="46">
        <f t="shared" si="1"/>
        <v>5.7077625570776256</v>
      </c>
      <c r="F10" s="29">
        <f t="shared" si="8"/>
        <v>45.575862068965527</v>
      </c>
      <c r="G10" s="13">
        <f t="shared" si="2"/>
        <v>865941379.31034493</v>
      </c>
      <c r="H10" s="52">
        <v>1</v>
      </c>
      <c r="J10" s="19">
        <v>6</v>
      </c>
      <c r="K10" s="13">
        <v>340157.16</v>
      </c>
      <c r="L10" s="13">
        <f t="shared" si="0"/>
        <v>304000.00000000006</v>
      </c>
      <c r="M10" s="21">
        <v>359.63</v>
      </c>
      <c r="N10" s="13">
        <f t="shared" si="3"/>
        <v>109327520.00000001</v>
      </c>
      <c r="O10" s="49">
        <f>+IF($C$36&gt;=SUM($L$5:L10),1,IF(O9=1,($C$36-SUM($L$5:L9))/L10,0))</f>
        <v>1</v>
      </c>
      <c r="Q10" s="19">
        <v>6</v>
      </c>
      <c r="R10" s="25">
        <v>340157.16</v>
      </c>
      <c r="S10" s="13">
        <f t="shared" si="4"/>
        <v>304000.00000000006</v>
      </c>
      <c r="T10" s="21">
        <v>719.26</v>
      </c>
      <c r="U10" s="23">
        <f t="shared" si="5"/>
        <v>218655040.00000003</v>
      </c>
      <c r="V10" s="49">
        <f>+IF($D$36&gt;=SUM($S$5:S10),1,IF(V9=1,($D$36-SUM($S$5:S9))/S10,0))</f>
        <v>1</v>
      </c>
      <c r="X10" s="20">
        <v>6</v>
      </c>
      <c r="Y10" s="21">
        <v>47.46</v>
      </c>
      <c r="Z10" s="21">
        <f t="shared" si="6"/>
        <v>30.000505697525451</v>
      </c>
      <c r="AA10" s="21">
        <v>1618343.25</v>
      </c>
      <c r="AB10" s="13">
        <f t="shared" si="7"/>
        <v>48551115.892176859</v>
      </c>
      <c r="AC10" s="49">
        <f>+IF($E$36&gt;=SUM($Z$5:Z10),1,IF(AC9=1,($E$36-SUM($Z$5:Z9))/Z10,0))</f>
        <v>1</v>
      </c>
    </row>
    <row r="11" spans="2:29" x14ac:dyDescent="0.3">
      <c r="B11" s="19">
        <v>7</v>
      </c>
      <c r="C11" s="13">
        <v>1000000</v>
      </c>
      <c r="D11" s="13">
        <v>1000000</v>
      </c>
      <c r="E11" s="46">
        <f t="shared" si="1"/>
        <v>5.7077625570776256</v>
      </c>
      <c r="F11" s="29">
        <f t="shared" si="8"/>
        <v>46.111034482758633</v>
      </c>
      <c r="G11" s="13">
        <f t="shared" si="2"/>
        <v>876109655.17241406</v>
      </c>
      <c r="H11" s="52">
        <v>1</v>
      </c>
      <c r="J11" s="19">
        <v>7</v>
      </c>
      <c r="K11" s="13">
        <v>340157.16</v>
      </c>
      <c r="L11" s="13">
        <f t="shared" si="0"/>
        <v>304000.00000000006</v>
      </c>
      <c r="M11" s="21">
        <v>356.5</v>
      </c>
      <c r="N11" s="13">
        <f t="shared" si="3"/>
        <v>108376000.00000001</v>
      </c>
      <c r="O11" s="49">
        <f>+IF($C$36&gt;=SUM($L$5:L11),1,IF(O10=1,($C$36-SUM($L$5:L10))/L11,0))</f>
        <v>1</v>
      </c>
      <c r="Q11" s="19">
        <v>7</v>
      </c>
      <c r="R11" s="25">
        <v>340157.16</v>
      </c>
      <c r="S11" s="13">
        <f t="shared" si="4"/>
        <v>304000.00000000006</v>
      </c>
      <c r="T11" s="21">
        <v>713.01</v>
      </c>
      <c r="U11" s="23">
        <f t="shared" si="5"/>
        <v>216755040.00000003</v>
      </c>
      <c r="V11" s="49">
        <f>+IF($D$36&gt;=SUM($S$5:S11),1,IF(V10=1,($D$36-SUM($S$5:S10))/S11,0))</f>
        <v>1</v>
      </c>
      <c r="X11" s="20">
        <v>7</v>
      </c>
      <c r="Y11" s="21">
        <v>47.46</v>
      </c>
      <c r="Z11" s="21">
        <f t="shared" si="6"/>
        <v>30.000505697525451</v>
      </c>
      <c r="AA11" s="21">
        <v>1604270.7</v>
      </c>
      <c r="AB11" s="13">
        <f t="shared" si="7"/>
        <v>48128932.275723144</v>
      </c>
      <c r="AC11" s="49">
        <f>+IF($E$36&gt;=SUM($Z$5:Z11),1,IF(AC10=1,($E$36-SUM($Z$5:Z10))/Z11,0))</f>
        <v>1</v>
      </c>
    </row>
    <row r="12" spans="2:29" x14ac:dyDescent="0.3">
      <c r="B12" s="19">
        <v>8</v>
      </c>
      <c r="C12" s="13">
        <v>1000000</v>
      </c>
      <c r="D12" s="13">
        <v>1000000</v>
      </c>
      <c r="E12" s="46">
        <f t="shared" si="1"/>
        <v>5.7077625570776256</v>
      </c>
      <c r="F12" s="29">
        <f t="shared" si="8"/>
        <v>46.646206896551739</v>
      </c>
      <c r="G12" s="13">
        <f t="shared" si="2"/>
        <v>886277931.03448296</v>
      </c>
      <c r="H12" s="52">
        <v>0</v>
      </c>
      <c r="J12" s="19">
        <v>8</v>
      </c>
      <c r="K12" s="13">
        <v>340157.16</v>
      </c>
      <c r="L12" s="13">
        <f t="shared" si="0"/>
        <v>304000.00000000006</v>
      </c>
      <c r="M12" s="21">
        <v>356.38</v>
      </c>
      <c r="N12" s="13">
        <f t="shared" si="3"/>
        <v>108339520.00000001</v>
      </c>
      <c r="O12" s="49">
        <f>+IF($C$36&gt;=SUM($L$5:L12),1,IF(O11=1,($C$36-SUM($L$5:L11))/L12,0))</f>
        <v>1</v>
      </c>
      <c r="Q12" s="19">
        <v>8</v>
      </c>
      <c r="R12" s="25">
        <v>340157.16</v>
      </c>
      <c r="S12" s="13">
        <f t="shared" si="4"/>
        <v>304000.00000000006</v>
      </c>
      <c r="T12" s="21">
        <v>706.75</v>
      </c>
      <c r="U12" s="23">
        <f t="shared" si="5"/>
        <v>214852000.00000003</v>
      </c>
      <c r="V12" s="49">
        <f>+IF($D$36&gt;=SUM($S$5:S12),1,IF(V11=1,($D$36-SUM($S$5:S11))/S12,0))</f>
        <v>1</v>
      </c>
      <c r="X12" s="20">
        <v>8</v>
      </c>
      <c r="Y12" s="21">
        <v>47.46</v>
      </c>
      <c r="Z12" s="21">
        <f t="shared" si="6"/>
        <v>30.000505697525451</v>
      </c>
      <c r="AA12" s="21">
        <v>1590198.15</v>
      </c>
      <c r="AB12" s="13">
        <f t="shared" si="7"/>
        <v>47706748.65926943</v>
      </c>
      <c r="AC12" s="49">
        <f>+IF($E$36&gt;=SUM($Z$5:Z12),1,IF(AC11=1,($E$36-SUM($Z$5:Z11))/Z12,0))</f>
        <v>1</v>
      </c>
    </row>
    <row r="13" spans="2:29" x14ac:dyDescent="0.3">
      <c r="B13" s="19">
        <v>9</v>
      </c>
      <c r="C13" s="13">
        <v>1000000</v>
      </c>
      <c r="D13" s="13">
        <v>1000000</v>
      </c>
      <c r="E13" s="46">
        <f t="shared" si="1"/>
        <v>5.7077625570776256</v>
      </c>
      <c r="F13" s="29">
        <f t="shared" si="8"/>
        <v>47.181379310344845</v>
      </c>
      <c r="G13" s="13">
        <f t="shared" si="2"/>
        <v>896446206.89655209</v>
      </c>
      <c r="H13" s="52">
        <v>0</v>
      </c>
      <c r="J13" s="19">
        <v>9</v>
      </c>
      <c r="K13" s="13">
        <v>340157.16</v>
      </c>
      <c r="L13" s="13">
        <f t="shared" si="0"/>
        <v>304000.00000000006</v>
      </c>
      <c r="M13" s="21">
        <v>350.25</v>
      </c>
      <c r="N13" s="13">
        <f t="shared" si="3"/>
        <v>106476000.00000001</v>
      </c>
      <c r="O13" s="49">
        <f>+IF($C$36&gt;=SUM($L$5:L13),1,IF(O12=1,($C$36-SUM($L$5:L12))/L13,0))</f>
        <v>1</v>
      </c>
      <c r="Q13" s="19">
        <v>9</v>
      </c>
      <c r="R13" s="25">
        <v>340157.16</v>
      </c>
      <c r="S13" s="13">
        <f t="shared" si="4"/>
        <v>304000.00000000006</v>
      </c>
      <c r="T13" s="21">
        <v>700.5</v>
      </c>
      <c r="U13" s="23">
        <f t="shared" si="5"/>
        <v>212952000.00000003</v>
      </c>
      <c r="V13" s="49">
        <f>+IF($D$36&gt;=SUM($S$5:S13),1,IF(V12=1,($D$36-SUM($S$5:S12))/S13,0))</f>
        <v>1</v>
      </c>
      <c r="X13" s="20">
        <v>9</v>
      </c>
      <c r="Y13" s="21">
        <v>47.46</v>
      </c>
      <c r="Z13" s="21">
        <f t="shared" si="6"/>
        <v>30.000505697525451</v>
      </c>
      <c r="AA13" s="21">
        <v>1576125.6</v>
      </c>
      <c r="AB13" s="13">
        <f t="shared" si="7"/>
        <v>47284565.042815723</v>
      </c>
      <c r="AC13" s="49">
        <f>+IF($E$36&gt;=SUM($Z$5:Z13),1,IF(AC12=1,($E$36-SUM($Z$5:Z12))/Z13,0))</f>
        <v>1</v>
      </c>
    </row>
    <row r="14" spans="2:29" x14ac:dyDescent="0.3">
      <c r="B14" s="19">
        <v>10</v>
      </c>
      <c r="C14" s="13">
        <v>1000000</v>
      </c>
      <c r="D14" s="13">
        <v>1000000</v>
      </c>
      <c r="E14" s="46">
        <f t="shared" si="1"/>
        <v>5.7077625570776256</v>
      </c>
      <c r="F14" s="29">
        <f t="shared" si="8"/>
        <v>47.71655172413795</v>
      </c>
      <c r="G14" s="13">
        <f t="shared" si="2"/>
        <v>906614482.75862098</v>
      </c>
      <c r="H14" s="52">
        <v>0</v>
      </c>
      <c r="J14" s="19">
        <v>10</v>
      </c>
      <c r="K14" s="13">
        <v>340157.16</v>
      </c>
      <c r="L14" s="13">
        <f t="shared" si="0"/>
        <v>304000.00000000006</v>
      </c>
      <c r="M14" s="21">
        <v>347.12</v>
      </c>
      <c r="N14" s="13">
        <f t="shared" si="3"/>
        <v>105524480.00000001</v>
      </c>
      <c r="O14" s="49">
        <f>+IF($C$36&gt;=SUM($L$5:L14),1,IF(O13=1,($C$36-SUM($L$5:L13))/L14,0))</f>
        <v>1</v>
      </c>
      <c r="Q14" s="19">
        <v>10</v>
      </c>
      <c r="R14" s="25">
        <v>340157.16</v>
      </c>
      <c r="S14" s="13">
        <f t="shared" si="4"/>
        <v>304000.00000000006</v>
      </c>
      <c r="T14" s="21">
        <v>694.25</v>
      </c>
      <c r="U14" s="23">
        <f t="shared" si="5"/>
        <v>211052000.00000003</v>
      </c>
      <c r="V14" s="49">
        <f>+IF($D$36&gt;=SUM($S$5:S14),1,IF(V13=1,($D$36-SUM($S$5:S13))/S14,0))</f>
        <v>1</v>
      </c>
      <c r="X14" s="20">
        <v>10</v>
      </c>
      <c r="Y14" s="21">
        <v>47.46</v>
      </c>
      <c r="Z14" s="21">
        <f t="shared" si="6"/>
        <v>30.000505697525451</v>
      </c>
      <c r="AA14" s="21">
        <v>1562053.05</v>
      </c>
      <c r="AB14" s="13">
        <f t="shared" si="7"/>
        <v>46862381.426362008</v>
      </c>
      <c r="AC14" s="49">
        <f>+IF($E$36&gt;=SUM($Z$5:Z14),1,IF(AC13=1,($E$36-SUM($Z$5:Z13))/Z14,0))</f>
        <v>1</v>
      </c>
    </row>
    <row r="15" spans="2:29" x14ac:dyDescent="0.3">
      <c r="B15" s="19">
        <v>11</v>
      </c>
      <c r="C15" s="13">
        <v>1000000</v>
      </c>
      <c r="D15" s="13">
        <v>1000000</v>
      </c>
      <c r="E15" s="46">
        <f t="shared" si="1"/>
        <v>5.7077625570776256</v>
      </c>
      <c r="F15" s="29">
        <f t="shared" si="8"/>
        <v>48.251724137931056</v>
      </c>
      <c r="G15" s="13">
        <f t="shared" si="2"/>
        <v>916782758.62069011</v>
      </c>
      <c r="H15" s="52">
        <v>0</v>
      </c>
      <c r="J15" s="19">
        <v>11</v>
      </c>
      <c r="K15" s="13">
        <v>340157.16</v>
      </c>
      <c r="L15" s="13">
        <f t="shared" si="0"/>
        <v>304000.00000000006</v>
      </c>
      <c r="M15" s="21">
        <v>344</v>
      </c>
      <c r="N15" s="13">
        <f t="shared" si="3"/>
        <v>104576000.00000001</v>
      </c>
      <c r="O15" s="49">
        <f>+IF($C$36&gt;=SUM($L$5:L15),1,IF(O14=1,($C$36-SUM($L$5:L14))/L15,0))</f>
        <v>1</v>
      </c>
      <c r="Q15" s="19">
        <v>11</v>
      </c>
      <c r="R15" s="25">
        <v>340157.16</v>
      </c>
      <c r="S15" s="13">
        <f t="shared" si="4"/>
        <v>304000.00000000006</v>
      </c>
      <c r="T15" s="21">
        <v>687.99</v>
      </c>
      <c r="U15" s="23">
        <f t="shared" si="5"/>
        <v>209148960.00000003</v>
      </c>
      <c r="V15" s="49">
        <f>+IF($D$36&gt;=SUM($S$5:S15),1,IF(V14=1,($D$36-SUM($S$5:S14))/S15,0))</f>
        <v>1</v>
      </c>
      <c r="X15" s="20">
        <v>11</v>
      </c>
      <c r="Y15" s="21">
        <v>47.46</v>
      </c>
      <c r="Z15" s="21">
        <f t="shared" si="6"/>
        <v>30.000505697525451</v>
      </c>
      <c r="AA15" s="21">
        <v>1547980.5</v>
      </c>
      <c r="AB15" s="13">
        <f t="shared" si="7"/>
        <v>46440197.809908293</v>
      </c>
      <c r="AC15" s="49">
        <f>+IF($E$36&gt;=SUM($Z$5:Z15),1,IF(AC14=1,($E$36-SUM($Z$5:Z14))/Z15,0))</f>
        <v>1</v>
      </c>
    </row>
    <row r="16" spans="2:29" x14ac:dyDescent="0.3">
      <c r="B16" s="19">
        <v>12</v>
      </c>
      <c r="C16" s="13">
        <v>2000000</v>
      </c>
      <c r="D16" s="13">
        <v>2000000</v>
      </c>
      <c r="E16" s="46">
        <f t="shared" si="1"/>
        <v>11.415525114155251</v>
      </c>
      <c r="F16" s="29">
        <f t="shared" si="8"/>
        <v>48.786896551724162</v>
      </c>
      <c r="G16" s="13">
        <f t="shared" si="2"/>
        <v>1853902068.9655182</v>
      </c>
      <c r="H16" s="52">
        <v>0</v>
      </c>
      <c r="J16" s="19">
        <v>12</v>
      </c>
      <c r="K16" s="13">
        <v>340157.16</v>
      </c>
      <c r="L16" s="13">
        <f t="shared" si="0"/>
        <v>304000.00000000006</v>
      </c>
      <c r="M16" s="21">
        <v>340.87</v>
      </c>
      <c r="N16" s="13">
        <f t="shared" si="3"/>
        <v>103624480.00000001</v>
      </c>
      <c r="O16" s="49">
        <f>+IF($C$36&gt;=SUM($L$5:L16),1,IF(O15=1,($C$36-SUM($L$5:L15))/L16,0))</f>
        <v>1</v>
      </c>
      <c r="Q16" s="19">
        <v>12</v>
      </c>
      <c r="R16" s="25">
        <v>340157.16</v>
      </c>
      <c r="S16" s="13">
        <f t="shared" si="4"/>
        <v>304000.00000000006</v>
      </c>
      <c r="T16" s="21">
        <v>681.74</v>
      </c>
      <c r="U16" s="23">
        <f t="shared" si="5"/>
        <v>207248960.00000003</v>
      </c>
      <c r="V16" s="49">
        <f>+IF($D$36&gt;=SUM($S$5:S16),1,IF(V15=1,($D$36-SUM($S$5:S15))/S16,0))</f>
        <v>1</v>
      </c>
      <c r="X16" s="20">
        <v>12</v>
      </c>
      <c r="Y16" s="21">
        <v>47.46</v>
      </c>
      <c r="Z16" s="21">
        <f t="shared" si="6"/>
        <v>30.000505697525451</v>
      </c>
      <c r="AA16" s="21">
        <v>1533907.95</v>
      </c>
      <c r="AB16" s="13">
        <f t="shared" si="7"/>
        <v>46018014.193454586</v>
      </c>
      <c r="AC16" s="49">
        <f>+IF($E$36&gt;=SUM($Z$5:Z16),1,IF(AC15=1,($E$36-SUM($Z$5:Z15))/Z16,0))</f>
        <v>1</v>
      </c>
    </row>
    <row r="17" spans="2:29" x14ac:dyDescent="0.3">
      <c r="B17" s="19">
        <v>13</v>
      </c>
      <c r="C17" s="13">
        <v>2000000</v>
      </c>
      <c r="D17" s="13">
        <v>2000000</v>
      </c>
      <c r="E17" s="46">
        <f t="shared" si="1"/>
        <v>11.415525114155251</v>
      </c>
      <c r="F17" s="29">
        <f t="shared" si="8"/>
        <v>49.322068965517268</v>
      </c>
      <c r="G17" s="13">
        <f t="shared" si="2"/>
        <v>1874238620.6896563</v>
      </c>
      <c r="H17" s="52">
        <v>0</v>
      </c>
      <c r="J17" s="19">
        <v>13</v>
      </c>
      <c r="K17" s="13">
        <v>340157.16</v>
      </c>
      <c r="L17" s="13">
        <f t="shared" si="0"/>
        <v>304000.00000000006</v>
      </c>
      <c r="M17" s="21">
        <v>337.74</v>
      </c>
      <c r="N17" s="13">
        <f t="shared" si="3"/>
        <v>102672960.00000003</v>
      </c>
      <c r="O17" s="49">
        <f>+IF($C$36&gt;=SUM($L$5:L17),1,IF(O16=1,($C$36-SUM($L$5:L16))/L17,0))</f>
        <v>1</v>
      </c>
      <c r="Q17" s="19">
        <v>13</v>
      </c>
      <c r="R17" s="25">
        <v>340157.16</v>
      </c>
      <c r="S17" s="13">
        <f t="shared" si="4"/>
        <v>304000.00000000006</v>
      </c>
      <c r="T17" s="21">
        <v>675.48</v>
      </c>
      <c r="U17" s="23">
        <f t="shared" si="5"/>
        <v>205345920.00000006</v>
      </c>
      <c r="V17" s="49">
        <f>+IF($D$36&gt;=SUM($S$5:S17),1,IF(V16=1,($D$36-SUM($S$5:S16))/S17,0))</f>
        <v>1</v>
      </c>
      <c r="X17" s="20">
        <v>13</v>
      </c>
      <c r="Y17" s="21">
        <v>47.46</v>
      </c>
      <c r="Z17" s="21">
        <f t="shared" si="6"/>
        <v>30.000505697525451</v>
      </c>
      <c r="AA17" s="21">
        <v>1519835.4</v>
      </c>
      <c r="AB17" s="13">
        <f t="shared" si="7"/>
        <v>45595830.577000871</v>
      </c>
      <c r="AC17" s="49">
        <f>+IF($E$36&gt;=SUM($Z$5:Z17),1,IF(AC16=1,($E$36-SUM($Z$5:Z16))/Z17,0))</f>
        <v>1</v>
      </c>
    </row>
    <row r="18" spans="2:29" x14ac:dyDescent="0.3">
      <c r="B18" s="19">
        <v>14</v>
      </c>
      <c r="C18" s="13">
        <v>2000000</v>
      </c>
      <c r="D18" s="13">
        <v>2000000</v>
      </c>
      <c r="E18" s="46">
        <f t="shared" si="1"/>
        <v>11.415525114155251</v>
      </c>
      <c r="F18" s="29">
        <f t="shared" si="8"/>
        <v>49.857241379310373</v>
      </c>
      <c r="G18" s="13">
        <f t="shared" si="2"/>
        <v>1894575172.4137943</v>
      </c>
      <c r="H18" s="52">
        <v>0</v>
      </c>
      <c r="J18" s="19">
        <v>14</v>
      </c>
      <c r="K18" s="13">
        <v>340157.16</v>
      </c>
      <c r="L18" s="13">
        <f t="shared" si="0"/>
        <v>304000.00000000006</v>
      </c>
      <c r="M18" s="21">
        <v>334.61</v>
      </c>
      <c r="N18" s="13">
        <f t="shared" si="3"/>
        <v>101721440.00000003</v>
      </c>
      <c r="O18" s="49">
        <f>+IF($C$36&gt;=SUM($L$5:L18),1,IF(O17=1,($C$36-SUM($L$5:L17))/L18,0))</f>
        <v>1</v>
      </c>
      <c r="Q18" s="19">
        <v>14</v>
      </c>
      <c r="R18" s="25">
        <v>340157.16</v>
      </c>
      <c r="S18" s="13">
        <f t="shared" si="4"/>
        <v>304000.00000000006</v>
      </c>
      <c r="T18" s="21">
        <v>669.23</v>
      </c>
      <c r="U18" s="23">
        <f t="shared" si="5"/>
        <v>203445920.00000003</v>
      </c>
      <c r="V18" s="49">
        <f>+IF($D$36&gt;=SUM($S$5:S18),1,IF(V17=1,($D$36-SUM($S$5:S17))/S18,0))</f>
        <v>1</v>
      </c>
      <c r="X18" s="20">
        <v>14</v>
      </c>
      <c r="Y18" s="21">
        <v>47.46</v>
      </c>
      <c r="Z18" s="21">
        <f t="shared" si="6"/>
        <v>30.000505697525451</v>
      </c>
      <c r="AA18" s="21">
        <v>1505762.85</v>
      </c>
      <c r="AB18" s="13">
        <f t="shared" si="7"/>
        <v>45173646.960547164</v>
      </c>
      <c r="AC18" s="49">
        <f>+IF($E$36&gt;=SUM($Z$5:Z18),1,IF(AC17=1,($E$36-SUM($Z$5:Z17))/Z18,0))</f>
        <v>1</v>
      </c>
    </row>
    <row r="19" spans="2:29" x14ac:dyDescent="0.3">
      <c r="B19" s="12">
        <v>15</v>
      </c>
      <c r="C19" s="14">
        <v>2000000</v>
      </c>
      <c r="D19" s="14">
        <v>2000000</v>
      </c>
      <c r="E19" s="47">
        <f t="shared" si="1"/>
        <v>11.415525114155251</v>
      </c>
      <c r="F19" s="36">
        <v>58.42</v>
      </c>
      <c r="G19" s="14">
        <f t="shared" si="2"/>
        <v>2219960000</v>
      </c>
      <c r="H19" s="53">
        <v>0</v>
      </c>
      <c r="J19" s="19">
        <v>15</v>
      </c>
      <c r="K19" s="13">
        <v>340157.16</v>
      </c>
      <c r="L19" s="13">
        <f t="shared" si="0"/>
        <v>304000.00000000006</v>
      </c>
      <c r="M19" s="21">
        <v>331.49</v>
      </c>
      <c r="N19" s="13">
        <f t="shared" si="3"/>
        <v>100772960.00000001</v>
      </c>
      <c r="O19" s="49">
        <f>+IF($C$36&gt;=SUM($L$5:L19),1,IF(O18=1,($C$36-SUM($L$5:L18))/L19,0))</f>
        <v>1</v>
      </c>
      <c r="Q19" s="19">
        <v>15</v>
      </c>
      <c r="R19" s="25">
        <v>340157.16</v>
      </c>
      <c r="S19" s="13">
        <f t="shared" si="4"/>
        <v>304000.00000000006</v>
      </c>
      <c r="T19" s="21">
        <v>662.97</v>
      </c>
      <c r="U19" s="23">
        <f t="shared" si="5"/>
        <v>201542880.00000006</v>
      </c>
      <c r="V19" s="49">
        <f>+IF($D$36&gt;=SUM($S$5:S19),1,IF(V18=1,($D$36-SUM($S$5:S18))/S19,0))</f>
        <v>1</v>
      </c>
      <c r="X19" s="20">
        <v>15</v>
      </c>
      <c r="Y19" s="21">
        <v>47.46</v>
      </c>
      <c r="Z19" s="21">
        <f t="shared" si="6"/>
        <v>30.000505697525451</v>
      </c>
      <c r="AA19" s="21">
        <v>1491690.3</v>
      </c>
      <c r="AB19" s="13">
        <f t="shared" si="7"/>
        <v>44751463.344093449</v>
      </c>
      <c r="AC19" s="49">
        <f>+IF($E$36&gt;=SUM($Z$5:Z19),1,IF(AC18=1,($E$36-SUM($Z$5:Z18))/Z19,0))</f>
        <v>1</v>
      </c>
    </row>
    <row r="20" spans="2:29" x14ac:dyDescent="0.3">
      <c r="B20" s="19" t="s">
        <v>23</v>
      </c>
      <c r="C20" s="13">
        <v>0</v>
      </c>
      <c r="D20" s="13">
        <v>0</v>
      </c>
      <c r="E20" s="56">
        <v>125</v>
      </c>
      <c r="F20" s="59">
        <v>65000</v>
      </c>
      <c r="G20" s="13">
        <f>+E20*F20*$G$2</f>
        <v>154375000</v>
      </c>
      <c r="H20" s="54">
        <v>1</v>
      </c>
      <c r="J20" s="19">
        <v>16</v>
      </c>
      <c r="K20" s="13">
        <v>340157.16</v>
      </c>
      <c r="L20" s="13">
        <f t="shared" si="0"/>
        <v>304000.00000000006</v>
      </c>
      <c r="M20" s="21">
        <v>328.36</v>
      </c>
      <c r="N20" s="13">
        <f t="shared" si="3"/>
        <v>99821440.00000003</v>
      </c>
      <c r="O20" s="49">
        <f>+IF($C$36&gt;=SUM($L$5:L20),1,IF(O19=1,($C$36-SUM($L$5:L19))/L20,0))</f>
        <v>1</v>
      </c>
      <c r="Q20" s="19">
        <v>16</v>
      </c>
      <c r="R20" s="25">
        <v>340157.16</v>
      </c>
      <c r="S20" s="13">
        <f t="shared" si="4"/>
        <v>304000.00000000006</v>
      </c>
      <c r="T20" s="21">
        <v>656.72</v>
      </c>
      <c r="U20" s="23">
        <f t="shared" si="5"/>
        <v>199642880.00000006</v>
      </c>
      <c r="V20" s="49">
        <f>+IF($D$36&gt;=SUM($S$5:S20),1,IF(V19=1,($D$36-SUM($S$5:S19))/S20,0))</f>
        <v>1</v>
      </c>
      <c r="X20" s="20">
        <v>16</v>
      </c>
      <c r="Y20" s="21">
        <v>47.46</v>
      </c>
      <c r="Z20" s="21">
        <f t="shared" si="6"/>
        <v>30.000505697525451</v>
      </c>
      <c r="AA20" s="21">
        <v>1477617.75</v>
      </c>
      <c r="AB20" s="13">
        <f t="shared" si="7"/>
        <v>44329279.727639735</v>
      </c>
      <c r="AC20" s="49">
        <f>+IF($E$36&gt;=SUM($Z$5:Z20),1,IF(AC19=1,($E$36-SUM($Z$5:Z19))/Z20,0))</f>
        <v>1</v>
      </c>
    </row>
    <row r="21" spans="2:29" x14ac:dyDescent="0.3">
      <c r="B21" s="19" t="s">
        <v>24</v>
      </c>
      <c r="C21" s="13">
        <v>0</v>
      </c>
      <c r="D21" s="13">
        <v>0</v>
      </c>
      <c r="E21" s="56">
        <v>125</v>
      </c>
      <c r="F21" s="59">
        <f>F20+1250</f>
        <v>66250</v>
      </c>
      <c r="G21" s="13">
        <f t="shared" ref="G21:G34" si="9">+E21*F21*$G$2</f>
        <v>157343750</v>
      </c>
      <c r="H21" s="54">
        <v>1</v>
      </c>
      <c r="J21" s="19">
        <v>17</v>
      </c>
      <c r="K21" s="13">
        <v>340157.16</v>
      </c>
      <c r="L21" s="13">
        <f t="shared" si="0"/>
        <v>304000.00000000006</v>
      </c>
      <c r="M21" s="21">
        <v>325.23</v>
      </c>
      <c r="N21" s="13">
        <f t="shared" si="3"/>
        <v>98869920.00000003</v>
      </c>
      <c r="O21" s="49">
        <f>+IF($C$36&gt;=SUM($L$5:L21),1,IF(O20=1,($C$36-SUM($L$5:L20))/L21,0))</f>
        <v>1</v>
      </c>
      <c r="Q21" s="19">
        <v>17</v>
      </c>
      <c r="R21" s="25">
        <v>340157.16</v>
      </c>
      <c r="S21" s="13">
        <f t="shared" si="4"/>
        <v>304000.00000000006</v>
      </c>
      <c r="T21" s="21">
        <v>650.46</v>
      </c>
      <c r="U21" s="23">
        <f t="shared" si="5"/>
        <v>197739840.00000006</v>
      </c>
      <c r="V21" s="49">
        <f>+IF($D$36&gt;=SUM($S$5:S21),1,IF(V20=1,($D$36-SUM($S$5:S20))/S21,0))</f>
        <v>1</v>
      </c>
      <c r="X21" s="20">
        <v>17</v>
      </c>
      <c r="Y21" s="21">
        <v>47.46</v>
      </c>
      <c r="Z21" s="21">
        <f t="shared" si="6"/>
        <v>30.000505697525451</v>
      </c>
      <c r="AA21" s="21">
        <v>1463545.2</v>
      </c>
      <c r="AB21" s="13">
        <f t="shared" si="7"/>
        <v>43907096.111186028</v>
      </c>
      <c r="AC21" s="49">
        <f>+IF($E$36&gt;=SUM($Z$5:Z21),1,IF(AC20=1,($E$36-SUM($Z$5:Z20))/Z21,0))</f>
        <v>1</v>
      </c>
    </row>
    <row r="22" spans="2:29" x14ac:dyDescent="0.3">
      <c r="B22" s="19" t="s">
        <v>25</v>
      </c>
      <c r="C22" s="13">
        <v>0</v>
      </c>
      <c r="D22" s="13">
        <v>0</v>
      </c>
      <c r="E22" s="56">
        <v>125</v>
      </c>
      <c r="F22" s="59">
        <f t="shared" ref="F22:F34" si="10">F21+1250</f>
        <v>67500</v>
      </c>
      <c r="G22" s="13">
        <f t="shared" si="9"/>
        <v>160312500</v>
      </c>
      <c r="H22" s="54">
        <v>1</v>
      </c>
      <c r="J22" s="19">
        <v>18</v>
      </c>
      <c r="K22" s="13">
        <v>340157.16</v>
      </c>
      <c r="L22" s="13">
        <f t="shared" si="0"/>
        <v>304000.00000000006</v>
      </c>
      <c r="M22" s="21">
        <v>322.11</v>
      </c>
      <c r="N22" s="13">
        <f t="shared" si="3"/>
        <v>97921440.00000003</v>
      </c>
      <c r="O22" s="49">
        <f>+IF($C$36&gt;=SUM($L$5:L22),1,IF(O21=1,($C$36-SUM($L$5:L21))/L22,0))</f>
        <v>1</v>
      </c>
      <c r="Q22" s="19">
        <v>18</v>
      </c>
      <c r="R22" s="25">
        <v>340157.16</v>
      </c>
      <c r="S22" s="13">
        <f t="shared" si="4"/>
        <v>304000.00000000006</v>
      </c>
      <c r="T22" s="21">
        <v>644.21</v>
      </c>
      <c r="U22" s="23">
        <f t="shared" si="5"/>
        <v>195839840.00000006</v>
      </c>
      <c r="V22" s="49">
        <f>+IF($D$36&gt;=SUM($S$5:S22),1,IF(V21=1,($D$36-SUM($S$5:S21))/S22,0))</f>
        <v>1</v>
      </c>
      <c r="X22" s="20">
        <v>18</v>
      </c>
      <c r="Y22" s="21">
        <v>47.46</v>
      </c>
      <c r="Z22" s="21">
        <f t="shared" si="6"/>
        <v>30.000505697525451</v>
      </c>
      <c r="AA22" s="21">
        <v>1449472.65</v>
      </c>
      <c r="AB22" s="13">
        <f t="shared" si="7"/>
        <v>43484912.494732313</v>
      </c>
      <c r="AC22" s="49">
        <f>+IF($E$36&gt;=SUM($Z$5:Z22),1,IF(AC21=1,($E$36-SUM($Z$5:Z21))/Z22,0))</f>
        <v>1</v>
      </c>
    </row>
    <row r="23" spans="2:29" x14ac:dyDescent="0.3">
      <c r="B23" s="19" t="s">
        <v>26</v>
      </c>
      <c r="C23" s="13">
        <v>0</v>
      </c>
      <c r="D23" s="13">
        <v>0</v>
      </c>
      <c r="E23" s="56">
        <v>125</v>
      </c>
      <c r="F23" s="59">
        <f t="shared" si="10"/>
        <v>68750</v>
      </c>
      <c r="G23" s="13">
        <f t="shared" si="9"/>
        <v>163281250</v>
      </c>
      <c r="H23" s="54">
        <v>1</v>
      </c>
      <c r="J23" s="19">
        <v>19</v>
      </c>
      <c r="K23" s="13">
        <v>340157.16</v>
      </c>
      <c r="L23" s="13">
        <f t="shared" si="0"/>
        <v>304000.00000000006</v>
      </c>
      <c r="M23" s="21">
        <v>318.98</v>
      </c>
      <c r="N23" s="13">
        <f t="shared" si="3"/>
        <v>96969920.00000003</v>
      </c>
      <c r="O23" s="49">
        <f>+IF($C$36&gt;=SUM($L$5:L23),1,IF(O22=1,($C$36-SUM($L$5:L22))/L23,0))</f>
        <v>1</v>
      </c>
      <c r="Q23" s="19">
        <v>19</v>
      </c>
      <c r="R23" s="25">
        <v>340157.16</v>
      </c>
      <c r="S23" s="13">
        <f t="shared" si="4"/>
        <v>304000.00000000006</v>
      </c>
      <c r="T23" s="21">
        <v>637.96</v>
      </c>
      <c r="U23" s="23">
        <f t="shared" si="5"/>
        <v>193939840.00000006</v>
      </c>
      <c r="V23" s="49">
        <f>+IF($D$36&gt;=SUM($S$5:S23),1,IF(V22=1,($D$36-SUM($S$5:S22))/S23,0))</f>
        <v>1</v>
      </c>
      <c r="X23" s="20">
        <v>19</v>
      </c>
      <c r="Y23" s="21">
        <v>47.46</v>
      </c>
      <c r="Z23" s="21">
        <f t="shared" si="6"/>
        <v>30.000505697525451</v>
      </c>
      <c r="AA23" s="21">
        <v>1435400.1</v>
      </c>
      <c r="AB23" s="13">
        <f t="shared" si="7"/>
        <v>43062728.878278606</v>
      </c>
      <c r="AC23" s="49">
        <f>+IF($E$36&gt;=SUM($Z$5:Z23),1,IF(AC22=1,($E$36-SUM($Z$5:Z22))/Z23,0))</f>
        <v>1</v>
      </c>
    </row>
    <row r="24" spans="2:29" x14ac:dyDescent="0.3">
      <c r="B24" s="19" t="s">
        <v>27</v>
      </c>
      <c r="C24" s="13">
        <v>0</v>
      </c>
      <c r="D24" s="13">
        <v>0</v>
      </c>
      <c r="E24" s="56">
        <v>125</v>
      </c>
      <c r="F24" s="59">
        <f t="shared" si="10"/>
        <v>70000</v>
      </c>
      <c r="G24" s="13">
        <f t="shared" si="9"/>
        <v>166250000</v>
      </c>
      <c r="H24" s="54">
        <v>1</v>
      </c>
      <c r="J24" s="19">
        <v>20</v>
      </c>
      <c r="K24" s="13">
        <v>340157.16</v>
      </c>
      <c r="L24" s="13">
        <f t="shared" si="0"/>
        <v>304000.00000000006</v>
      </c>
      <c r="M24" s="21">
        <v>315.85000000000002</v>
      </c>
      <c r="N24" s="13">
        <f t="shared" si="3"/>
        <v>96018400.00000003</v>
      </c>
      <c r="O24" s="49">
        <f>+IF($C$36&gt;=SUM($L$5:L24),1,IF(O23=1,($C$36-SUM($L$5:L23))/L24,0))</f>
        <v>1</v>
      </c>
      <c r="Q24" s="19">
        <v>20</v>
      </c>
      <c r="R24" s="25">
        <v>340157.16</v>
      </c>
      <c r="S24" s="13">
        <f t="shared" si="4"/>
        <v>304000.00000000006</v>
      </c>
      <c r="T24" s="21">
        <v>631.70000000000005</v>
      </c>
      <c r="U24" s="23">
        <f t="shared" si="5"/>
        <v>192036800.00000006</v>
      </c>
      <c r="V24" s="49">
        <f>+IF($D$36&gt;=SUM($S$5:S24),1,IF(V23=1,($D$36-SUM($S$5:S23))/S24,0))</f>
        <v>1</v>
      </c>
      <c r="X24" s="20">
        <v>20</v>
      </c>
      <c r="Y24" s="21">
        <v>47.46</v>
      </c>
      <c r="Z24" s="21">
        <f t="shared" si="6"/>
        <v>30.000505697525451</v>
      </c>
      <c r="AA24" s="21">
        <v>1420327.55</v>
      </c>
      <c r="AB24" s="13">
        <f t="shared" si="7"/>
        <v>42610544.756127365</v>
      </c>
      <c r="AC24" s="49">
        <f>+IF($E$36&gt;=SUM($Z$5:Z24),1,IF(AC23=1,($E$36-SUM($Z$5:Z23))/Z24,0))</f>
        <v>1</v>
      </c>
    </row>
    <row r="25" spans="2:29" x14ac:dyDescent="0.3">
      <c r="B25" s="19" t="s">
        <v>33</v>
      </c>
      <c r="C25" s="13">
        <v>0</v>
      </c>
      <c r="D25" s="13">
        <v>0</v>
      </c>
      <c r="E25" s="56">
        <v>125</v>
      </c>
      <c r="F25" s="59">
        <f t="shared" si="10"/>
        <v>71250</v>
      </c>
      <c r="G25" s="13">
        <f t="shared" si="9"/>
        <v>169218750</v>
      </c>
      <c r="H25" s="54">
        <v>0</v>
      </c>
      <c r="J25" s="19">
        <v>21</v>
      </c>
      <c r="K25" s="13">
        <v>340157.16</v>
      </c>
      <c r="L25" s="13">
        <f t="shared" si="0"/>
        <v>304000.00000000006</v>
      </c>
      <c r="M25" s="21">
        <v>312.72000000000003</v>
      </c>
      <c r="N25" s="13">
        <f t="shared" si="3"/>
        <v>95066880.00000003</v>
      </c>
      <c r="O25" s="49">
        <f>+IF($C$36&gt;=SUM($L$5:L25),1,IF(O24=1,($C$36-SUM($L$5:L24))/L25,0))</f>
        <v>1</v>
      </c>
      <c r="Q25" s="19">
        <v>21</v>
      </c>
      <c r="R25" s="25">
        <v>340157.16</v>
      </c>
      <c r="S25" s="13">
        <f t="shared" si="4"/>
        <v>304000.00000000006</v>
      </c>
      <c r="T25" s="21">
        <v>625.45000000000005</v>
      </c>
      <c r="U25" s="23">
        <f t="shared" si="5"/>
        <v>190136800.00000006</v>
      </c>
      <c r="V25" s="49">
        <f>+IF($D$36&gt;=SUM($S$5:S25),1,IF(V24=1,($D$36-SUM($S$5:S24))/S25,0))</f>
        <v>1</v>
      </c>
      <c r="X25" s="20">
        <v>21</v>
      </c>
      <c r="Y25" s="21">
        <v>47.46</v>
      </c>
      <c r="Z25" s="21">
        <f t="shared" si="6"/>
        <v>30.000505697525451</v>
      </c>
      <c r="AA25" s="21">
        <v>1407255</v>
      </c>
      <c r="AB25" s="13">
        <f t="shared" si="7"/>
        <v>42218361.645371176</v>
      </c>
      <c r="AC25" s="49">
        <f>+IF($E$36&gt;=SUM($Z$5:Z25),1,IF(AC24=1,($E$36-SUM($Z$5:Z24))/Z25,0))</f>
        <v>1</v>
      </c>
    </row>
    <row r="26" spans="2:29" x14ac:dyDescent="0.3">
      <c r="B26" s="19" t="s">
        <v>34</v>
      </c>
      <c r="C26" s="13">
        <v>0</v>
      </c>
      <c r="D26" s="13">
        <v>0</v>
      </c>
      <c r="E26" s="56">
        <v>125</v>
      </c>
      <c r="F26" s="59">
        <f t="shared" si="10"/>
        <v>72500</v>
      </c>
      <c r="G26" s="13">
        <f t="shared" si="9"/>
        <v>172187500</v>
      </c>
      <c r="H26" s="54">
        <v>0</v>
      </c>
      <c r="J26" s="19">
        <v>22</v>
      </c>
      <c r="K26" s="13">
        <v>340157.16</v>
      </c>
      <c r="L26" s="13">
        <f t="shared" si="0"/>
        <v>304000.00000000006</v>
      </c>
      <c r="M26" s="21">
        <v>309.60000000000002</v>
      </c>
      <c r="N26" s="13">
        <f t="shared" si="3"/>
        <v>94118400.00000003</v>
      </c>
      <c r="O26" s="49">
        <f>+IF($C$36&gt;=SUM($L$5:L26),1,IF(O25=1,($C$36-SUM($L$5:L25))/L26,0))</f>
        <v>1</v>
      </c>
      <c r="Q26" s="19">
        <v>22</v>
      </c>
      <c r="R26" s="25">
        <v>340157.16</v>
      </c>
      <c r="S26" s="13">
        <f t="shared" si="4"/>
        <v>304000.00000000006</v>
      </c>
      <c r="T26" s="21">
        <v>619.19000000000005</v>
      </c>
      <c r="U26" s="23">
        <f t="shared" si="5"/>
        <v>188233760.00000006</v>
      </c>
      <c r="V26" s="49">
        <f>+IF($D$36&gt;=SUM($S$5:S26),1,IF(V25=1,($D$36-SUM($S$5:S25))/S26,0))</f>
        <v>1</v>
      </c>
      <c r="X26" s="20">
        <v>22</v>
      </c>
      <c r="Y26" s="21">
        <v>47.46</v>
      </c>
      <c r="Z26" s="21">
        <f t="shared" si="6"/>
        <v>30.000505697525451</v>
      </c>
      <c r="AA26" s="21">
        <v>1393182.45</v>
      </c>
      <c r="AB26" s="13">
        <f t="shared" si="7"/>
        <v>41796178.028917469</v>
      </c>
      <c r="AC26" s="49">
        <f>+IF($E$36&gt;=SUM($Z$5:Z26),1,IF(AC25=1,($E$36-SUM($Z$5:Z25))/Z26,0))</f>
        <v>1</v>
      </c>
    </row>
    <row r="27" spans="2:29" x14ac:dyDescent="0.3">
      <c r="B27" s="19" t="s">
        <v>35</v>
      </c>
      <c r="C27" s="13">
        <v>0</v>
      </c>
      <c r="D27" s="13">
        <v>0</v>
      </c>
      <c r="E27" s="56">
        <v>125</v>
      </c>
      <c r="F27" s="59">
        <f t="shared" si="10"/>
        <v>73750</v>
      </c>
      <c r="G27" s="13">
        <f t="shared" si="9"/>
        <v>175156250</v>
      </c>
      <c r="H27" s="54">
        <v>0</v>
      </c>
      <c r="J27" s="19">
        <v>23</v>
      </c>
      <c r="K27" s="13">
        <v>340157.16</v>
      </c>
      <c r="L27" s="13">
        <f t="shared" si="0"/>
        <v>304000.00000000006</v>
      </c>
      <c r="M27" s="21">
        <v>306.47000000000003</v>
      </c>
      <c r="N27" s="13">
        <f t="shared" si="3"/>
        <v>93166880.00000003</v>
      </c>
      <c r="O27" s="49">
        <f>+IF($C$36&gt;=SUM($L$5:L27),1,IF(O26=1,($C$36-SUM($L$5:L26))/L27,0))</f>
        <v>1</v>
      </c>
      <c r="Q27" s="19">
        <v>23</v>
      </c>
      <c r="R27" s="25">
        <v>340157.16</v>
      </c>
      <c r="S27" s="13">
        <f t="shared" si="4"/>
        <v>304000.00000000006</v>
      </c>
      <c r="T27" s="21">
        <v>612.94000000000005</v>
      </c>
      <c r="U27" s="23">
        <f t="shared" si="5"/>
        <v>186333760.00000006</v>
      </c>
      <c r="V27" s="49">
        <f>+IF($D$36&gt;=SUM($S$5:S27),1,IF(V26=1,($D$36-SUM($S$5:S26))/S27,0))</f>
        <v>1</v>
      </c>
      <c r="X27" s="20">
        <v>23</v>
      </c>
      <c r="Y27" s="21">
        <v>47.46</v>
      </c>
      <c r="Z27" s="21">
        <f t="shared" si="6"/>
        <v>30.000505697525451</v>
      </c>
      <c r="AA27" s="21">
        <v>1379109.9</v>
      </c>
      <c r="AB27" s="13">
        <f t="shared" si="7"/>
        <v>41373994.412463754</v>
      </c>
      <c r="AC27" s="49">
        <f>+IF($E$36&gt;=SUM($Z$5:Z27),1,IF(AC26=1,($E$36-SUM($Z$5:Z26))/Z27,0))</f>
        <v>0.16477097432364965</v>
      </c>
    </row>
    <row r="28" spans="2:29" x14ac:dyDescent="0.3">
      <c r="B28" s="19" t="s">
        <v>36</v>
      </c>
      <c r="C28" s="13">
        <v>0</v>
      </c>
      <c r="D28" s="13">
        <v>0</v>
      </c>
      <c r="E28" s="56">
        <v>125</v>
      </c>
      <c r="F28" s="59">
        <f t="shared" si="10"/>
        <v>75000</v>
      </c>
      <c r="G28" s="13">
        <f t="shared" si="9"/>
        <v>178125000</v>
      </c>
      <c r="H28" s="54">
        <v>0</v>
      </c>
      <c r="J28" s="19">
        <v>24</v>
      </c>
      <c r="K28" s="13">
        <v>340157.16</v>
      </c>
      <c r="L28" s="13">
        <f t="shared" si="0"/>
        <v>304000.00000000006</v>
      </c>
      <c r="M28" s="21">
        <v>303.33999999999997</v>
      </c>
      <c r="N28" s="13">
        <f t="shared" si="3"/>
        <v>92215360.000000015</v>
      </c>
      <c r="O28" s="49">
        <f>+IF($C$36&gt;=SUM($L$5:L28),1,IF(O27=1,($C$36-SUM($L$5:L27))/L28,0))</f>
        <v>2.6315789473681142E-2</v>
      </c>
      <c r="Q28" s="19">
        <v>24</v>
      </c>
      <c r="R28" s="25">
        <v>340157.16</v>
      </c>
      <c r="S28" s="13">
        <f t="shared" si="4"/>
        <v>304000.00000000006</v>
      </c>
      <c r="T28" s="21">
        <v>606.67999999999995</v>
      </c>
      <c r="U28" s="23">
        <f t="shared" si="5"/>
        <v>184430720.00000003</v>
      </c>
      <c r="V28" s="49">
        <f>+IF($D$36&gt;=SUM($S$5:S28),1,IF(V27=1,($D$36-SUM($S$5:S27))/S28,0))</f>
        <v>2.6315789473681142E-2</v>
      </c>
      <c r="X28" s="20">
        <v>24</v>
      </c>
      <c r="Y28" s="21">
        <v>47.46</v>
      </c>
      <c r="Z28" s="21">
        <f t="shared" si="6"/>
        <v>30.000505697525451</v>
      </c>
      <c r="AA28" s="21">
        <v>1365037.35</v>
      </c>
      <c r="AB28" s="13">
        <f t="shared" si="7"/>
        <v>40951810.796010047</v>
      </c>
      <c r="AC28" s="49">
        <f>+IF($E$36&gt;=SUM($Z$5:Z28),1,IF(AC27=1,($E$36-SUM($Z$5:Z27))/Z28,0))</f>
        <v>0</v>
      </c>
    </row>
    <row r="29" spans="2:29" x14ac:dyDescent="0.3">
      <c r="B29" s="19" t="s">
        <v>37</v>
      </c>
      <c r="C29" s="13">
        <v>0</v>
      </c>
      <c r="D29" s="13">
        <v>0</v>
      </c>
      <c r="E29" s="56">
        <v>125</v>
      </c>
      <c r="F29" s="59">
        <f t="shared" si="10"/>
        <v>76250</v>
      </c>
      <c r="G29" s="13">
        <f t="shared" si="9"/>
        <v>181093750</v>
      </c>
      <c r="H29" s="54">
        <v>0</v>
      </c>
      <c r="J29" s="19">
        <v>25</v>
      </c>
      <c r="K29" s="13">
        <v>340157.16</v>
      </c>
      <c r="L29" s="13">
        <f t="shared" si="0"/>
        <v>304000.00000000006</v>
      </c>
      <c r="M29" s="21">
        <v>300.20999999999998</v>
      </c>
      <c r="N29" s="13">
        <f t="shared" si="3"/>
        <v>91263840.000000015</v>
      </c>
      <c r="O29" s="49">
        <f>+IF($C$36&gt;=SUM($L$5:L29),1,IF(O28=1,($C$36-SUM($L$5:L28))/L29,0))</f>
        <v>0</v>
      </c>
      <c r="Q29" s="19">
        <v>25</v>
      </c>
      <c r="R29" s="25">
        <v>340157.16</v>
      </c>
      <c r="S29" s="13">
        <f t="shared" si="4"/>
        <v>304000.00000000006</v>
      </c>
      <c r="T29" s="21">
        <v>600.42999999999995</v>
      </c>
      <c r="U29" s="23">
        <f t="shared" si="5"/>
        <v>182530720.00000003</v>
      </c>
      <c r="V29" s="49">
        <f>+IF($D$36&gt;=SUM($S$5:S29),1,IF(V28=1,($D$36-SUM($S$5:S28))/S29,0))</f>
        <v>0</v>
      </c>
      <c r="X29" s="20">
        <v>25</v>
      </c>
      <c r="Y29" s="21">
        <v>47.46</v>
      </c>
      <c r="Z29" s="21">
        <f t="shared" si="6"/>
        <v>30.000505697525451</v>
      </c>
      <c r="AA29" s="21">
        <v>1350964.8</v>
      </c>
      <c r="AB29" s="13">
        <f t="shared" si="7"/>
        <v>40529627.179556333</v>
      </c>
      <c r="AC29" s="49">
        <f>+IF($E$36&gt;=SUM($Z$5:Z29),1,IF(AC28=1,($E$36-SUM($Z$5:Z28))/Z29,0))</f>
        <v>0</v>
      </c>
    </row>
    <row r="30" spans="2:29" x14ac:dyDescent="0.3">
      <c r="B30" s="19" t="s">
        <v>39</v>
      </c>
      <c r="C30" s="13">
        <v>0</v>
      </c>
      <c r="D30" s="13">
        <v>0</v>
      </c>
      <c r="E30" s="56">
        <v>125</v>
      </c>
      <c r="F30" s="59">
        <f t="shared" si="10"/>
        <v>77500</v>
      </c>
      <c r="G30" s="13">
        <f t="shared" si="9"/>
        <v>184062500</v>
      </c>
      <c r="H30" s="54">
        <v>0</v>
      </c>
      <c r="J30" s="19">
        <v>26</v>
      </c>
      <c r="K30" s="13">
        <v>425196.45</v>
      </c>
      <c r="L30" s="13">
        <f t="shared" si="0"/>
        <v>380000.00000000012</v>
      </c>
      <c r="M30" s="21">
        <v>281.45</v>
      </c>
      <c r="N30" s="13">
        <f t="shared" si="3"/>
        <v>106951000.00000003</v>
      </c>
      <c r="O30" s="49">
        <f>+IF($C$36&gt;=SUM($L$5:L30),1,IF(O29=1,($C$36-SUM($L$5:L29))/L30,0))</f>
        <v>0</v>
      </c>
      <c r="Q30" s="19">
        <v>26</v>
      </c>
      <c r="R30" s="24">
        <v>425196.45</v>
      </c>
      <c r="S30" s="13">
        <f t="shared" si="4"/>
        <v>380000.00000000012</v>
      </c>
      <c r="T30" s="21">
        <v>525.38</v>
      </c>
      <c r="U30" s="23">
        <f t="shared" si="5"/>
        <v>199644400.00000006</v>
      </c>
      <c r="V30" s="49">
        <f>+IF($D$36&gt;=SUM($S$5:S30),1,IF(V29=1,($D$36-SUM($S$5:S29))/S30,0))</f>
        <v>0</v>
      </c>
      <c r="X30" s="20">
        <v>26</v>
      </c>
      <c r="Y30" s="21">
        <v>59.32</v>
      </c>
      <c r="Z30" s="21">
        <f t="shared" si="6"/>
        <v>37.497471512372726</v>
      </c>
      <c r="AA30" s="21">
        <v>506611.8</v>
      </c>
      <c r="AB30" s="13">
        <f t="shared" si="7"/>
        <v>18996661.53833187</v>
      </c>
      <c r="AC30" s="49">
        <f>+IF($E$36&gt;=SUM($Z$5:Z30),1,IF(AC29=1,($E$36-SUM($Z$5:Z29))/Z30,0))</f>
        <v>0</v>
      </c>
    </row>
    <row r="31" spans="2:29" x14ac:dyDescent="0.3">
      <c r="B31" s="19" t="s">
        <v>40</v>
      </c>
      <c r="C31" s="13">
        <v>0</v>
      </c>
      <c r="D31" s="13">
        <v>0</v>
      </c>
      <c r="E31" s="56">
        <v>125</v>
      </c>
      <c r="F31" s="59">
        <f t="shared" si="10"/>
        <v>78750</v>
      </c>
      <c r="G31" s="13">
        <f t="shared" si="9"/>
        <v>187031250</v>
      </c>
      <c r="H31" s="54">
        <v>0</v>
      </c>
      <c r="J31" s="19">
        <v>27</v>
      </c>
      <c r="K31" s="13">
        <v>425196.45</v>
      </c>
      <c r="L31" s="13">
        <f t="shared" si="0"/>
        <v>380000.00000000012</v>
      </c>
      <c r="M31" s="21">
        <v>243.92</v>
      </c>
      <c r="N31" s="13">
        <f t="shared" si="3"/>
        <v>92689600.00000003</v>
      </c>
      <c r="O31" s="49">
        <f>+IF($C$36&gt;=SUM($L$5:L31),1,IF(O30=1,($C$36-SUM($L$5:L30))/L31,0))</f>
        <v>0</v>
      </c>
      <c r="Q31" s="19">
        <v>27</v>
      </c>
      <c r="R31" s="24">
        <v>425196.45</v>
      </c>
      <c r="S31" s="13">
        <f t="shared" si="4"/>
        <v>380000.00000000012</v>
      </c>
      <c r="T31" s="21">
        <v>450.32</v>
      </c>
      <c r="U31" s="23">
        <f t="shared" si="5"/>
        <v>171121600.00000006</v>
      </c>
      <c r="V31" s="49">
        <f>+IF($D$36&gt;=SUM($S$5:S31),1,IF(V30=1,($D$36-SUM($S$5:S30))/S31,0))</f>
        <v>0</v>
      </c>
      <c r="X31" s="20">
        <v>27</v>
      </c>
      <c r="Y31" s="21">
        <v>59.32</v>
      </c>
      <c r="Z31" s="21">
        <f t="shared" si="6"/>
        <v>37.497471512372726</v>
      </c>
      <c r="AA31" s="21">
        <v>422176.5</v>
      </c>
      <c r="AB31" s="13">
        <f t="shared" si="7"/>
        <v>15830551.281943224</v>
      </c>
      <c r="AC31" s="49">
        <f>+IF($E$36&gt;=SUM($Z$5:Z31),1,IF(AC30=1,($E$36-SUM($Z$5:Z30))/Z31,0))</f>
        <v>0</v>
      </c>
    </row>
    <row r="32" spans="2:29" x14ac:dyDescent="0.3">
      <c r="B32" s="19" t="s">
        <v>41</v>
      </c>
      <c r="C32" s="13">
        <v>0</v>
      </c>
      <c r="D32" s="13">
        <v>0</v>
      </c>
      <c r="E32" s="56">
        <v>125</v>
      </c>
      <c r="F32" s="59">
        <f t="shared" si="10"/>
        <v>80000</v>
      </c>
      <c r="G32" s="13">
        <f t="shared" si="9"/>
        <v>190000000</v>
      </c>
      <c r="H32" s="54">
        <v>0</v>
      </c>
      <c r="J32" s="19">
        <v>28</v>
      </c>
      <c r="K32" s="13">
        <v>425196.45</v>
      </c>
      <c r="L32" s="13">
        <f t="shared" si="0"/>
        <v>380000.00000000012</v>
      </c>
      <c r="M32" s="21">
        <v>206.4</v>
      </c>
      <c r="N32" s="13">
        <f t="shared" si="3"/>
        <v>78432000.00000003</v>
      </c>
      <c r="O32" s="49">
        <f>+IF($C$36&gt;=SUM($L$5:L32),1,IF(O31=1,($C$36-SUM($L$5:L31))/L32,0))</f>
        <v>0</v>
      </c>
      <c r="Q32" s="19">
        <v>28</v>
      </c>
      <c r="R32" s="24">
        <v>425196.45</v>
      </c>
      <c r="S32" s="13">
        <f t="shared" si="4"/>
        <v>380000.00000000012</v>
      </c>
      <c r="T32" s="21">
        <v>375.27</v>
      </c>
      <c r="U32" s="23">
        <f t="shared" si="5"/>
        <v>142602600.00000003</v>
      </c>
      <c r="V32" s="49">
        <f>+IF($D$36&gt;=SUM($S$5:S32),1,IF(V31=1,($D$36-SUM($S$5:S31))/S32,0))</f>
        <v>0</v>
      </c>
      <c r="X32" s="20">
        <v>28</v>
      </c>
      <c r="Y32" s="21">
        <v>59.32</v>
      </c>
      <c r="Z32" s="21">
        <f t="shared" si="6"/>
        <v>37.497471512372726</v>
      </c>
      <c r="AA32" s="21">
        <v>337741.2</v>
      </c>
      <c r="AB32" s="13">
        <f t="shared" si="7"/>
        <v>12664441.025554581</v>
      </c>
      <c r="AC32" s="49">
        <f>+IF($E$36&gt;=SUM($Z$5:Z32),1,IF(AC31=1,($E$36-SUM($Z$5:Z31))/Z32,0))</f>
        <v>0</v>
      </c>
    </row>
    <row r="33" spans="2:29" x14ac:dyDescent="0.3">
      <c r="B33" s="19" t="s">
        <v>42</v>
      </c>
      <c r="C33" s="13">
        <v>0</v>
      </c>
      <c r="D33" s="13">
        <v>0</v>
      </c>
      <c r="E33" s="56">
        <v>125</v>
      </c>
      <c r="F33" s="59">
        <f t="shared" si="10"/>
        <v>81250</v>
      </c>
      <c r="G33" s="13">
        <f t="shared" si="9"/>
        <v>192968750</v>
      </c>
      <c r="H33" s="54">
        <v>0</v>
      </c>
      <c r="J33" s="19">
        <v>29</v>
      </c>
      <c r="K33" s="13">
        <v>425196.45</v>
      </c>
      <c r="L33" s="13">
        <f t="shared" si="0"/>
        <v>380000.00000000012</v>
      </c>
      <c r="M33" s="21">
        <v>168.87</v>
      </c>
      <c r="N33" s="13">
        <f t="shared" si="3"/>
        <v>64170600.000000022</v>
      </c>
      <c r="O33" s="49">
        <f>+IF($C$36&gt;=SUM($L$5:L33),1,IF(O32=1,($C$36-SUM($L$5:L32))/L33,0))</f>
        <v>0</v>
      </c>
      <c r="Q33" s="19">
        <v>29</v>
      </c>
      <c r="R33" s="24">
        <v>425196.45</v>
      </c>
      <c r="S33" s="13">
        <f t="shared" si="4"/>
        <v>380000.00000000012</v>
      </c>
      <c r="T33" s="21">
        <v>300.20999999999998</v>
      </c>
      <c r="U33" s="23">
        <f t="shared" si="5"/>
        <v>114079800.00000003</v>
      </c>
      <c r="V33" s="49">
        <f>+IF($D$36&gt;=SUM($S$5:S33),1,IF(V32=1,($D$36-SUM($S$5:S32))/S33,0))</f>
        <v>0</v>
      </c>
      <c r="X33" s="20">
        <v>29</v>
      </c>
      <c r="Y33" s="21">
        <v>59.32</v>
      </c>
      <c r="Z33" s="21">
        <f t="shared" si="6"/>
        <v>37.497471512372726</v>
      </c>
      <c r="AA33" s="21">
        <v>253305.9</v>
      </c>
      <c r="AB33" s="13">
        <f t="shared" si="7"/>
        <v>9498330.769165935</v>
      </c>
      <c r="AC33" s="49">
        <f>+IF($E$36&gt;=SUM($Z$5:Z33),1,IF(AC32=1,($E$36-SUM($Z$5:Z32))/Z33,0))</f>
        <v>0</v>
      </c>
    </row>
    <row r="34" spans="2:29" x14ac:dyDescent="0.3">
      <c r="B34" s="12" t="s">
        <v>43</v>
      </c>
      <c r="C34" s="22">
        <v>0</v>
      </c>
      <c r="D34" s="22">
        <v>0</v>
      </c>
      <c r="E34" s="57">
        <v>125</v>
      </c>
      <c r="F34" s="60">
        <f t="shared" si="10"/>
        <v>82500</v>
      </c>
      <c r="G34" s="14">
        <f t="shared" si="9"/>
        <v>195937500</v>
      </c>
      <c r="H34" s="55">
        <v>0</v>
      </c>
      <c r="J34" s="12">
        <v>30</v>
      </c>
      <c r="K34" s="14">
        <v>425196.45</v>
      </c>
      <c r="L34" s="14">
        <f t="shared" si="0"/>
        <v>380000.00000000012</v>
      </c>
      <c r="M34" s="22">
        <v>131.34</v>
      </c>
      <c r="N34" s="14">
        <f t="shared" si="3"/>
        <v>49909200.000000015</v>
      </c>
      <c r="O34" s="50">
        <f>+IF($C$36&gt;=SUM($L$5:L34),1,IF(O33=1,($C$36-SUM($L$5:L33))/L34,0))</f>
        <v>0</v>
      </c>
      <c r="Q34" s="12">
        <v>30</v>
      </c>
      <c r="R34" s="39">
        <v>425196.45</v>
      </c>
      <c r="S34" s="14">
        <f t="shared" si="4"/>
        <v>380000.00000000012</v>
      </c>
      <c r="T34" s="22">
        <v>225.16</v>
      </c>
      <c r="U34" s="40">
        <f t="shared" si="5"/>
        <v>85560800.00000003</v>
      </c>
      <c r="V34" s="50">
        <f>+IF($D$36&gt;=SUM($S$5:S34),1,IF(V33=1,($D$36-SUM($S$5:S33))/S34,0))</f>
        <v>0</v>
      </c>
      <c r="X34" s="42">
        <v>30</v>
      </c>
      <c r="Y34" s="22">
        <v>59.32</v>
      </c>
      <c r="Z34" s="22">
        <f t="shared" si="6"/>
        <v>37.497471512372726</v>
      </c>
      <c r="AA34" s="22">
        <v>168870.6</v>
      </c>
      <c r="AB34" s="14">
        <f t="shared" si="7"/>
        <v>6332220.5127772903</v>
      </c>
      <c r="AC34" s="50">
        <f>+IF($E$36&gt;=SUM($Z$5:Z34),1,IF(AC33=1,($E$36-SUM($Z$5:Z33))/Z34,0))</f>
        <v>0</v>
      </c>
    </row>
    <row r="35" spans="2:29" s="1" customFormat="1" x14ac:dyDescent="0.3">
      <c r="B35" s="30" t="s">
        <v>10</v>
      </c>
      <c r="C35" s="11">
        <f>+SUM(C5:C34)</f>
        <v>19000000</v>
      </c>
      <c r="D35" s="11">
        <f>+SUM(D5:D34)</f>
        <v>19000000</v>
      </c>
      <c r="E35" s="11">
        <f>+SUM(E5:E34)</f>
        <v>1983.447488584475</v>
      </c>
      <c r="F35" s="11"/>
      <c r="G35" s="31">
        <f>+SUM(G5:G34)</f>
        <v>19995374784.482765</v>
      </c>
      <c r="H35"/>
      <c r="J35"/>
      <c r="K35" s="10">
        <f>+SUM(K5:K34)</f>
        <v>10629911.249999998</v>
      </c>
      <c r="L35" s="10">
        <f>+SUM(L5:L34)</f>
        <v>9500000.0000000019</v>
      </c>
      <c r="M35"/>
      <c r="N35" s="10">
        <f>+SUM(N5:N34)</f>
        <v>2959897520.0000005</v>
      </c>
      <c r="O35"/>
      <c r="Q35"/>
      <c r="R35" s="10">
        <f>+SUM(R5:R34)</f>
        <v>10629911.249999998</v>
      </c>
      <c r="S35" s="10">
        <f>+SUM(S5:S34)</f>
        <v>9500000.0000000019</v>
      </c>
      <c r="T35"/>
      <c r="U35" s="10">
        <f>+SUM(U5:U34)</f>
        <v>5846675440.000001</v>
      </c>
      <c r="V35"/>
      <c r="W35"/>
      <c r="X35"/>
      <c r="Y35" s="10">
        <f>+SUM(Y5:Y34)</f>
        <v>1483.1000000000001</v>
      </c>
      <c r="Z35" s="10">
        <f>+SUM(Z5:Z34)</f>
        <v>937.49999999999989</v>
      </c>
      <c r="AA35"/>
      <c r="AB35" s="10">
        <f>+SUM(AB5:AB34)</f>
        <v>1203187969.0470977</v>
      </c>
    </row>
    <row r="36" spans="2:29" s="1" customFormat="1" x14ac:dyDescent="0.3">
      <c r="B36" s="6" t="s">
        <v>20</v>
      </c>
      <c r="C36" s="4">
        <f>+SUMPRODUCT(C5:C34,$H$5:$H$34)</f>
        <v>7000000</v>
      </c>
      <c r="D36" s="4">
        <f>+SUMPRODUCT(D5:D34,$H$5:$H$34)</f>
        <v>7000000</v>
      </c>
      <c r="E36" s="4">
        <f>+SUMPRODUCT(E5:E34,$H$5:$H$34)</f>
        <v>664.95433789954336</v>
      </c>
      <c r="F36" s="4"/>
      <c r="G36" s="8">
        <f>+SUMPRODUCT(G5:G34,$H$5:$H$34)</f>
        <v>6720796293.1034489</v>
      </c>
      <c r="H36"/>
      <c r="J36"/>
      <c r="K36" s="7">
        <f>+SUMPRODUCT(K5:K34,$O$5:$O$34)</f>
        <v>7832566.1842105268</v>
      </c>
      <c r="L36" s="7">
        <f>+SUMPRODUCT(L5:L34,$O$5:$O$34)</f>
        <v>7000000</v>
      </c>
      <c r="M36"/>
      <c r="N36" s="7">
        <f>+SUMPRODUCT(N5:N34,$O$5:$O$34)</f>
        <v>2386692640</v>
      </c>
      <c r="O36"/>
      <c r="Q36"/>
      <c r="R36" s="7">
        <f>+SUMPRODUCT(R5:R34,$V$5:$V$34)</f>
        <v>7832566.1842105268</v>
      </c>
      <c r="S36" s="7">
        <f>+SUMPRODUCT(S5:S34,$V$5:$V$34)</f>
        <v>7000000</v>
      </c>
      <c r="T36"/>
      <c r="U36" s="7">
        <f>+SUMPRODUCT(U5:U34,$V$5:$V$34)</f>
        <v>4771558240</v>
      </c>
      <c r="V36"/>
      <c r="W36"/>
      <c r="X36"/>
      <c r="Y36" s="7">
        <f>+SUMPRODUCT(Y5:Y34,$AC$5:$AC$34)</f>
        <v>1051.9400304414007</v>
      </c>
      <c r="Z36" s="7">
        <f>+SUMPRODUCT(Z5:Z34,$AC$5:$AC$34)</f>
        <v>664.95433789954336</v>
      </c>
      <c r="AA36"/>
      <c r="AB36" s="7">
        <f>+SUMPRODUCT(AB5:AB34,$AC$5:$AC$34)</f>
        <v>1023827564.9022971</v>
      </c>
      <c r="AC36"/>
    </row>
    <row r="39" spans="2:29" x14ac:dyDescent="0.3">
      <c r="B39" t="s">
        <v>14</v>
      </c>
      <c r="C39" s="9">
        <f>+C36</f>
        <v>7000000</v>
      </c>
      <c r="D39" s="9">
        <f>+D36</f>
        <v>7000000</v>
      </c>
      <c r="E39" s="9">
        <f>+E36</f>
        <v>664.95433789954336</v>
      </c>
    </row>
    <row r="40" spans="2:29" x14ac:dyDescent="0.3">
      <c r="B40" t="s">
        <v>13</v>
      </c>
      <c r="C40" s="9">
        <f>+L36</f>
        <v>7000000</v>
      </c>
      <c r="D40" s="9">
        <f>+S36</f>
        <v>7000000</v>
      </c>
      <c r="E40" s="9">
        <f>+Z36</f>
        <v>664.95433789954336</v>
      </c>
      <c r="M40" s="28"/>
      <c r="N40" s="5"/>
      <c r="U40" s="5"/>
    </row>
    <row r="43" spans="2:29" x14ac:dyDescent="0.3">
      <c r="B43" t="s">
        <v>15</v>
      </c>
      <c r="E43" s="5"/>
      <c r="F43" s="5">
        <f>+N36+U36+AB36</f>
        <v>8182078444.902297</v>
      </c>
    </row>
    <row r="44" spans="2:29" x14ac:dyDescent="0.3">
      <c r="B44" t="s">
        <v>16</v>
      </c>
      <c r="F44" s="5">
        <f>+G36</f>
        <v>6720796293.1034489</v>
      </c>
    </row>
    <row r="45" spans="2:29" x14ac:dyDescent="0.3">
      <c r="B45" t="s">
        <v>17</v>
      </c>
      <c r="F45" s="5">
        <f>+F43-F44</f>
        <v>1461282151.7988482</v>
      </c>
      <c r="W45" s="1"/>
    </row>
    <row r="46" spans="2:29" x14ac:dyDescent="0.3">
      <c r="M46" s="28"/>
      <c r="W46" s="1"/>
    </row>
    <row r="47" spans="2:29" x14ac:dyDescent="0.3">
      <c r="B47" t="s">
        <v>18</v>
      </c>
      <c r="F47" s="5">
        <f>+N35+U35+AB35</f>
        <v>10009760929.0471</v>
      </c>
      <c r="M47" s="28"/>
    </row>
    <row r="48" spans="2:29" x14ac:dyDescent="0.3">
      <c r="B48" t="s">
        <v>19</v>
      </c>
      <c r="F48" s="58">
        <f>+F45/F47</f>
        <v>0.14598571955483836</v>
      </c>
      <c r="M48" s="28"/>
    </row>
  </sheetData>
  <mergeCells count="5">
    <mergeCell ref="B1:G1"/>
    <mergeCell ref="J1:AC1"/>
    <mergeCell ref="J3:O3"/>
    <mergeCell ref="Q3:V3"/>
    <mergeCell ref="X3:A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Escenario Medio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Thomas Pavlovic</dc:creator>
  <cp:lastModifiedBy>JESUS AVILA CAMARENA</cp:lastModifiedBy>
  <dcterms:created xsi:type="dcterms:W3CDTF">2016-02-03T19:05:32Z</dcterms:created>
  <dcterms:modified xsi:type="dcterms:W3CDTF">2016-07-08T14:15:12Z</dcterms:modified>
</cp:coreProperties>
</file>